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PF Tabela 1" sheetId="1" r:id="rId1"/>
    <sheet name="Arkusz1" sheetId="2" state="hidden" r:id="rId2"/>
    <sheet name="Arkusz2" sheetId="3" r:id="rId3"/>
  </sheets>
  <externalReferences>
    <externalReference r:id="rId6"/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Autor</author>
  </authors>
  <commentList>
    <comment ref="C58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C62" authorId="0">
      <text>
        <r>
          <rPr>
            <b/>
            <sz val="8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<sst xmlns="http://schemas.openxmlformats.org/spreadsheetml/2006/main" count="306" uniqueCount="147">
  <si>
    <t xml:space="preserve">Wieloletnia Prognoza Finansowa  gminy Krupski Młyn </t>
  </si>
  <si>
    <t>Tabela Nr 1  główna</t>
  </si>
  <si>
    <t>lp.</t>
  </si>
  <si>
    <t>Wyszczególnienie</t>
  </si>
  <si>
    <t>I</t>
  </si>
  <si>
    <t>Dochody</t>
  </si>
  <si>
    <t>a</t>
  </si>
  <si>
    <t>bieżące</t>
  </si>
  <si>
    <t>b</t>
  </si>
  <si>
    <t>majątkowe</t>
  </si>
  <si>
    <t>w tym</t>
  </si>
  <si>
    <t>sprzedaż majątku</t>
  </si>
  <si>
    <t>II</t>
  </si>
  <si>
    <t>Wydatki</t>
  </si>
  <si>
    <t>obsługa długu</t>
  </si>
  <si>
    <t xml:space="preserve">gwarancje i poręczenia </t>
  </si>
  <si>
    <t>wynagrodzenia i składki od nich naliczane</t>
  </si>
  <si>
    <t>wydatki związane z funkcjonowaniem organów j.s.t.</t>
  </si>
  <si>
    <t xml:space="preserve">Przedsięwzięcia </t>
  </si>
  <si>
    <t>x</t>
  </si>
  <si>
    <t>III</t>
  </si>
  <si>
    <t>Przychody</t>
  </si>
  <si>
    <t>zaciągany dług</t>
  </si>
  <si>
    <t>pożyczki</t>
  </si>
  <si>
    <t>kredyty</t>
  </si>
  <si>
    <t>emisja obligacji</t>
  </si>
  <si>
    <t>spłata udzielonych pożyczek</t>
  </si>
  <si>
    <t>c</t>
  </si>
  <si>
    <t>nadwyżka budżetowa z lat poprzednich</t>
  </si>
  <si>
    <t>d</t>
  </si>
  <si>
    <t>wolne środki</t>
  </si>
  <si>
    <t>IV</t>
  </si>
  <si>
    <t>Rozchody</t>
  </si>
  <si>
    <t>spłata długu</t>
  </si>
  <si>
    <t>wykup obligacji</t>
  </si>
  <si>
    <t>pożyczki do udzielenia</t>
  </si>
  <si>
    <t>V</t>
  </si>
  <si>
    <t>Wynik budżetu (+ nadwyżka; - deficyt)</t>
  </si>
  <si>
    <t>Va</t>
  </si>
  <si>
    <t>Finansowanie deficytu</t>
  </si>
  <si>
    <t>Vb</t>
  </si>
  <si>
    <t>Przeznaczenie nadwyżki</t>
  </si>
  <si>
    <t>spłata zaciągniętęgo długu</t>
  </si>
  <si>
    <t>udzielenie pożyczek</t>
  </si>
  <si>
    <t>VI</t>
  </si>
  <si>
    <t xml:space="preserve">Dług / Prognoza kwoty długu </t>
  </si>
  <si>
    <t>VII</t>
  </si>
  <si>
    <t>Relacja z art. 169 ustawy o finansach publicznych z dnia 30 czerwca 2005r (max 15%)</t>
  </si>
  <si>
    <t>VIII</t>
  </si>
  <si>
    <t>Relacja z art. 170 ustawy o finansach publicznych z dnia 30 czerwca 2005r (max 60%)</t>
  </si>
  <si>
    <t>IX.</t>
  </si>
  <si>
    <t>Obciążenia spłatami wg art. 243 ust 1 ustawy o finansach publicznych - część wzoru w treści:                           (R + O)/D</t>
  </si>
  <si>
    <t>X.</t>
  </si>
  <si>
    <t>Limit obciążeń budżetu spłatą długu, kosztami jego obsługi oraz poręczeniami i gwarancjami - zgodnie z art. 243 ust. 1 ustawy o finansach publicznych - średnia z trzech poprzednich lat</t>
  </si>
  <si>
    <t>XI.</t>
  </si>
  <si>
    <t>Relacja o ktorej mowa w art. 243  ustawy z dnia 27 sierpnia 2009r o finansach publicznych  (poz. X minus poz. IX)- nie może być ze znakiem "minus"</t>
  </si>
  <si>
    <t>XII.</t>
  </si>
  <si>
    <t>Sposób sfinansowania długu</t>
  </si>
  <si>
    <t>nadwyżka budżetowa</t>
  </si>
  <si>
    <t>Wielkości kontrolne i informacyjne</t>
  </si>
  <si>
    <t>A.</t>
  </si>
  <si>
    <t>(Dochody bieżące + sprzedaż majątku - wydatki bieżące) / dochody ogółem: (Db+Sm-Wb)/D - dla danego roku</t>
  </si>
  <si>
    <t>B.</t>
  </si>
  <si>
    <t>Równowaga budżetowa D+ P - W - R = 0</t>
  </si>
  <si>
    <t>C.</t>
  </si>
  <si>
    <t>Różnica dochody bieżące + nadwyżka z lat ubiegłych+ wolne środki - wydatki bieżące (art. 242 ust. 1 ufp) - od roku 2011 nie może być ze znakiem "minus"</t>
  </si>
  <si>
    <t>D.</t>
  </si>
  <si>
    <t>Obsługa długu związana z UE</t>
  </si>
  <si>
    <t>E.</t>
  </si>
  <si>
    <t>Spłata długu związana z UE</t>
  </si>
  <si>
    <t>F.</t>
  </si>
  <si>
    <t>Gwarancje i poręczenia związane z UE -sam. os. prawne</t>
  </si>
  <si>
    <t>G.</t>
  </si>
  <si>
    <t>Dług na koniec roku związany z UE.</t>
  </si>
  <si>
    <t>H.</t>
  </si>
  <si>
    <t>Relacja z art. 169 ustawy o finansach publicznych z dnia 30 czerwca 2005r (max 15%) bez UE</t>
  </si>
  <si>
    <t>I.</t>
  </si>
  <si>
    <t>Relacja z art. 170 ustawy o finansach publicznych z dnia 30 czerwca 2005r (max 60%) bez UE</t>
  </si>
  <si>
    <t>J.</t>
  </si>
  <si>
    <t>(R + O) / D bez UE</t>
  </si>
  <si>
    <t>K.</t>
  </si>
  <si>
    <t>Relacja o ktorej mowa w art. 243  ustawy z dnia 27 sierpnia 2009r o finansach publicznych (Dz. U. Nr 157, poz. 1240) - od roku 2014 nie może być ze znakiem "minus" - bez UE</t>
  </si>
  <si>
    <t>X</t>
  </si>
  <si>
    <t>L.</t>
  </si>
  <si>
    <t xml:space="preserve">Przypadające na jednostkę kwoty zobowiązań związków j.s.t. </t>
  </si>
  <si>
    <t>Tabela nr 2  - cz.A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</si>
  <si>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</si>
  <si>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</si>
  <si>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</si>
  <si>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</si>
  <si>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</si>
  <si>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poniesione w latach poprzednich</t>
  </si>
  <si>
    <t xml:space="preserve">Limity wydatków </t>
  </si>
  <si>
    <t xml:space="preserve">Limit zobowiązań </t>
  </si>
  <si>
    <t>ogółem</t>
  </si>
  <si>
    <t>Umowy, o których mowa w art. 226, ust. 4 pkt 2 ufp (zapewnienie ciągłości dzialania jednostki)</t>
  </si>
  <si>
    <t>Urząd Gminy w Krupskim Młynie</t>
  </si>
  <si>
    <t>Jak w części B załącznika</t>
  </si>
  <si>
    <t>Przedsięwzięcia, o których mowa w art. 226, ust. 4 pkt 1 ufp (wydatki bieżące)</t>
  </si>
  <si>
    <t xml:space="preserve">Aktywizacja Społeczno-Zawodowa Bezrobotnych w Gminie Krupski Młyn - Program POKL </t>
  </si>
  <si>
    <t>GOPS Krupski Młyn</t>
  </si>
  <si>
    <t>2008-2013</t>
  </si>
  <si>
    <t>Suma</t>
  </si>
  <si>
    <t>Przedsięwzięcia, o których mowa w art. 226, ust. 4 pkt 1 ufp (wydatki majątkowe)</t>
  </si>
  <si>
    <t>Termomodernizacja budynku Zespołu Szkół położonego przy ulicy Dąbrowskiego w Krupskim Młynie</t>
  </si>
  <si>
    <t>UG Krupski Młyn</t>
  </si>
  <si>
    <t>2009-2011</t>
  </si>
  <si>
    <t>wkład własny</t>
  </si>
  <si>
    <t>Inne źródła finansowania (kredyt)</t>
  </si>
  <si>
    <t xml:space="preserve">WFOŚiGW pożyczka </t>
  </si>
  <si>
    <t>WFOŚiGW dotacja</t>
  </si>
  <si>
    <t>2010-2013</t>
  </si>
  <si>
    <r>
      <t>W</t>
    </r>
    <r>
      <rPr>
        <sz val="11"/>
        <color theme="1"/>
        <rFont val="Calibri"/>
        <family val="2"/>
      </rPr>
      <t>ojewódzki Program Rozwoju Bazy Sportowej</t>
    </r>
  </si>
  <si>
    <t>2011-2012</t>
  </si>
  <si>
    <t>2011-2014</t>
  </si>
  <si>
    <t>Inne źródła finansowania</t>
  </si>
  <si>
    <t>Termomodernizacja budynku Urzędu Gminy w Krupskim Młynie</t>
  </si>
  <si>
    <t>Inne źródła finansowania (kredyt komercyjny)</t>
  </si>
  <si>
    <t>WFOŚiGW</t>
  </si>
  <si>
    <t>PROW dotacja</t>
  </si>
  <si>
    <t>Zagospodarowanie terenu sportowo rekreacyjnego w gminie Krupski Młyn (nazwa projektu: "Przez sport do zdrowia - modernizacja lokalnej infrastruktury sportowej w Krupskim Młynie" w tym: własne ujęcie wody)</t>
  </si>
  <si>
    <t>Inne źródła finansowania (kredyt komercyjny )</t>
  </si>
  <si>
    <t>RPO dotacja</t>
  </si>
  <si>
    <t>Ochrona dorzecza Małej Panwi i Liswarty poprzez modernizację gospodarki ściekowej polegającej na modernizacji i budowie oczyszczalni ścieków wraz z systemem kanalizacji sanitarnej</t>
  </si>
  <si>
    <t>Inne źródła finansowania (pożyczka WFOŚ)</t>
  </si>
  <si>
    <t>Wymiana sieci wodociągowej w Krupskim Młynie i Potepie</t>
  </si>
  <si>
    <t>2010-2012</t>
  </si>
  <si>
    <t>WFOŚiGW pożyczka</t>
  </si>
  <si>
    <t>Budowa oczyszczalni ścieków w Gminie Krupski Młyn</t>
  </si>
  <si>
    <t>2010-2014</t>
  </si>
  <si>
    <t xml:space="preserve">Nabycie od WFOŚiGW w Katowicach udziałów w Przedsiębiorstwie Energetyki Cieplnej "Ciepłogaz" sp. z o.o. </t>
  </si>
  <si>
    <t>Budowa Sali gimnastycznej przy Zespole Szkolno-Przedszkolnym w Potepie</t>
  </si>
  <si>
    <t>Montaż instalacji solarnych na terenie gminy Krupski Młyn</t>
  </si>
  <si>
    <t>gmina nie poręcza, nie udziela gwarancji</t>
  </si>
  <si>
    <t>Łącznie ( I + II + III+IV)</t>
  </si>
  <si>
    <t>Termomodernizacja budynków mieszkalnych Nr  3 i 5 na Osiedlu Ziętek w Krupskim Młynie oraz wymiana okien w Przedszkolu na osiedlu Ziętek w Krupskim Młynie</t>
  </si>
  <si>
    <t>Modernizacja centralnego placu wsi Potępa, w Gminie Krupski Młyn</t>
  </si>
  <si>
    <t>2008-2011</t>
  </si>
  <si>
    <t xml:space="preserve">Zagospodarownie terenu sportowo rekreacyjnego w Krupskim Młynie </t>
  </si>
  <si>
    <t>Budowa sieci szerokopasmowej dla spoleczeństwa informacyjnego 2011 na terenie gminy Krupski Młyn</t>
  </si>
  <si>
    <t>Budowa Sali gimnastycznej  w Krupskim Młynie</t>
  </si>
  <si>
    <t>2004-2013</t>
  </si>
  <si>
    <t>2008-2014</t>
  </si>
  <si>
    <t xml:space="preserve">Zagospodarownie terenu sportowo rekreacyjnego w Potępie Odmuchowie </t>
  </si>
  <si>
    <t>2011-2013</t>
  </si>
  <si>
    <t>Załącznik nr 2 do  uchwały Nr XIII/87/11 Rady Gminy Krupski Młyn z dnia29 listopada 2011 roku -  Część A</t>
  </si>
  <si>
    <t>Załącznik  do Zarządzenia Nr 0050/144/11 Wójta Gminy  Krupski Młyn z dnia 30 grudnia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</si>
</sst>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name val="Tahoma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thick"/>
      <bottom/>
    </border>
    <border>
      <left style="thin"/>
      <right style="thin"/>
      <top style="thick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medium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 style="double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right" vertical="center"/>
      <protection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 wrapText="1"/>
      <protection/>
    </xf>
    <xf numFmtId="3" fontId="5" fillId="34" borderId="17" xfId="0" applyNumberFormat="1" applyFont="1" applyFill="1" applyBorder="1" applyAlignment="1" applyProtection="1">
      <alignment horizontal="right" vertical="center"/>
      <protection locked="0"/>
    </xf>
    <xf numFmtId="3" fontId="0" fillId="34" borderId="17" xfId="0" applyNumberFormat="1" applyFill="1" applyBorder="1" applyAlignment="1" applyProtection="1">
      <alignment horizontal="right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/>
    </xf>
    <xf numFmtId="4" fontId="0" fillId="33" borderId="15" xfId="0" applyNumberFormat="1" applyFill="1" applyBorder="1" applyAlignment="1" applyProtection="1">
      <alignment horizontal="center" vertical="center"/>
      <protection/>
    </xf>
    <xf numFmtId="4" fontId="0" fillId="33" borderId="17" xfId="0" applyNumberFormat="1" applyFill="1" applyBorder="1" applyAlignment="1" applyProtection="1">
      <alignment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3" fontId="4" fillId="33" borderId="17" xfId="0" applyNumberFormat="1" applyFont="1" applyFill="1" applyBorder="1" applyAlignment="1" applyProtection="1">
      <alignment horizontal="right" vertical="center"/>
      <protection/>
    </xf>
    <xf numFmtId="3" fontId="0" fillId="34" borderId="17" xfId="42" applyNumberFormat="1" applyFont="1" applyFill="1" applyBorder="1" applyAlignment="1" applyProtection="1">
      <alignment vertical="center"/>
      <protection locked="0"/>
    </xf>
    <xf numFmtId="3" fontId="0" fillId="0" borderId="17" xfId="0" applyNumberFormat="1" applyFill="1" applyBorder="1" applyAlignment="1" applyProtection="1">
      <alignment horizontal="right" vertical="center"/>
      <protection/>
    </xf>
    <xf numFmtId="3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 horizontal="center" vertical="center" textRotation="90"/>
      <protection/>
    </xf>
    <xf numFmtId="4" fontId="0" fillId="33" borderId="17" xfId="0" applyNumberFormat="1" applyFill="1" applyBorder="1" applyAlignment="1" applyProtection="1">
      <alignment horizontal="center" vertical="center" wrapText="1"/>
      <protection/>
    </xf>
    <xf numFmtId="3" fontId="0" fillId="34" borderId="17" xfId="0" applyNumberFormat="1" applyFill="1" applyBorder="1" applyAlignment="1" applyProtection="1">
      <alignment horizontal="center" vertical="center"/>
      <protection locked="0"/>
    </xf>
    <xf numFmtId="3" fontId="0" fillId="33" borderId="17" xfId="0" applyNumberFormat="1" applyFill="1" applyBorder="1" applyAlignment="1" applyProtection="1">
      <alignment horizontal="right" vertical="center"/>
      <protection/>
    </xf>
    <xf numFmtId="3" fontId="0" fillId="33" borderId="17" xfId="0" applyNumberFormat="1" applyFill="1" applyBorder="1" applyAlignment="1" applyProtection="1">
      <alignment horizontal="right" vertical="center"/>
      <protection locked="0"/>
    </xf>
    <xf numFmtId="3" fontId="5" fillId="33" borderId="17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ill="1" applyBorder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 wrapText="1"/>
      <protection/>
    </xf>
    <xf numFmtId="4" fontId="0" fillId="33" borderId="16" xfId="0" applyNumberFormat="1" applyFill="1" applyBorder="1" applyAlignment="1" applyProtection="1">
      <alignment vertical="center" wrapText="1"/>
      <protection/>
    </xf>
    <xf numFmtId="3" fontId="0" fillId="34" borderId="17" xfId="0" applyNumberFormat="1" applyFill="1" applyBorder="1" applyAlignment="1" applyProtection="1">
      <alignment horizontal="right" vertical="center"/>
      <protection/>
    </xf>
    <xf numFmtId="4" fontId="4" fillId="33" borderId="16" xfId="0" applyNumberFormat="1" applyFont="1" applyFill="1" applyBorder="1" applyAlignment="1" applyProtection="1">
      <alignment vertical="center" wrapText="1"/>
      <protection/>
    </xf>
    <xf numFmtId="4" fontId="0" fillId="34" borderId="17" xfId="0" applyNumberFormat="1" applyFill="1" applyBorder="1" applyAlignment="1" applyProtection="1">
      <alignment horizontal="right" vertical="center"/>
      <protection/>
    </xf>
    <xf numFmtId="10" fontId="4" fillId="33" borderId="17" xfId="0" applyNumberFormat="1" applyFont="1" applyFill="1" applyBorder="1" applyAlignment="1" applyProtection="1">
      <alignment horizontal="center" vertical="center"/>
      <protection/>
    </xf>
    <xf numFmtId="4" fontId="4" fillId="33" borderId="17" xfId="0" applyNumberFormat="1" applyFont="1" applyFill="1" applyBorder="1" applyAlignment="1" applyProtection="1">
      <alignment horizontal="center" vertical="center"/>
      <protection/>
    </xf>
    <xf numFmtId="4" fontId="4" fillId="33" borderId="18" xfId="0" applyNumberFormat="1" applyFont="1" applyFill="1" applyBorder="1" applyAlignment="1" applyProtection="1">
      <alignment horizontal="center" vertical="center"/>
      <protection/>
    </xf>
    <xf numFmtId="164" fontId="4" fillId="33" borderId="19" xfId="0" applyNumberFormat="1" applyFont="1" applyFill="1" applyBorder="1" applyAlignment="1" applyProtection="1">
      <alignment horizontal="center" vertical="center"/>
      <protection/>
    </xf>
    <xf numFmtId="4" fontId="4" fillId="33" borderId="19" xfId="0" applyNumberFormat="1" applyFont="1" applyFill="1" applyBorder="1" applyAlignment="1" applyProtection="1">
      <alignment horizontal="center" vertical="center"/>
      <protection/>
    </xf>
    <xf numFmtId="4" fontId="4" fillId="33" borderId="20" xfId="0" applyNumberFormat="1" applyFont="1" applyFill="1" applyBorder="1" applyAlignment="1" applyProtection="1">
      <alignment horizontal="center" vertical="center"/>
      <protection/>
    </xf>
    <xf numFmtId="4" fontId="6" fillId="33" borderId="16" xfId="0" applyNumberFormat="1" applyFont="1" applyFill="1" applyBorder="1" applyAlignment="1" applyProtection="1">
      <alignment vertical="center" wrapText="1"/>
      <protection/>
    </xf>
    <xf numFmtId="4" fontId="6" fillId="33" borderId="21" xfId="0" applyNumberFormat="1" applyFont="1" applyFill="1" applyBorder="1" applyAlignment="1" applyProtection="1">
      <alignment vertical="center" wrapText="1"/>
      <protection/>
    </xf>
    <xf numFmtId="4" fontId="6" fillId="33" borderId="22" xfId="0" applyNumberFormat="1" applyFont="1" applyFill="1" applyBorder="1" applyAlignment="1" applyProtection="1">
      <alignment vertical="center" wrapText="1"/>
      <protection/>
    </xf>
    <xf numFmtId="4" fontId="5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vertical="center"/>
      <protection locked="0"/>
    </xf>
    <xf numFmtId="4" fontId="0" fillId="33" borderId="24" xfId="0" applyNumberFormat="1" applyFill="1" applyBorder="1" applyAlignment="1" applyProtection="1">
      <alignment horizontal="center" vertical="center"/>
      <protection/>
    </xf>
    <xf numFmtId="164" fontId="0" fillId="33" borderId="13" xfId="0" applyNumberFormat="1" applyFill="1" applyBorder="1" applyAlignment="1" applyProtection="1">
      <alignment horizontal="center" vertical="center"/>
      <protection/>
    </xf>
    <xf numFmtId="4" fontId="0" fillId="33" borderId="25" xfId="0" applyNumberFormat="1" applyFill="1" applyBorder="1" applyAlignment="1" applyProtection="1">
      <alignment horizontal="center" vertical="center"/>
      <protection/>
    </xf>
    <xf numFmtId="3" fontId="0" fillId="33" borderId="17" xfId="0" applyNumberFormat="1" applyFill="1" applyBorder="1" applyAlignment="1" applyProtection="1">
      <alignment horizontal="center" vertical="center"/>
      <protection/>
    </xf>
    <xf numFmtId="3" fontId="7" fillId="33" borderId="19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Border="1" applyAlignment="1" applyProtection="1">
      <alignment vertical="center"/>
      <protection locked="0"/>
    </xf>
    <xf numFmtId="10" fontId="7" fillId="0" borderId="17" xfId="0" applyNumberFormat="1" applyFont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 applyProtection="1">
      <alignment vertical="center"/>
      <protection locked="0"/>
    </xf>
    <xf numFmtId="10" fontId="7" fillId="33" borderId="17" xfId="0" applyNumberFormat="1" applyFont="1" applyFill="1" applyBorder="1" applyAlignment="1" applyProtection="1">
      <alignment horizontal="center" vertical="center"/>
      <protection/>
    </xf>
    <xf numFmtId="164" fontId="7" fillId="33" borderId="17" xfId="0" applyNumberFormat="1" applyFont="1" applyFill="1" applyBorder="1" applyAlignment="1" applyProtection="1">
      <alignment horizontal="center" vertical="center"/>
      <protection/>
    </xf>
    <xf numFmtId="164" fontId="7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4" fillId="35" borderId="0" xfId="0" applyFont="1" applyFill="1" applyAlignment="1" applyProtection="1">
      <alignment vertical="center"/>
      <protection locked="0"/>
    </xf>
    <xf numFmtId="0" fontId="5" fillId="35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4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5" xfId="0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/>
    </xf>
    <xf numFmtId="3" fontId="0" fillId="33" borderId="32" xfId="0" applyNumberFormat="1" applyFill="1" applyBorder="1" applyAlignment="1">
      <alignment horizontal="center" vertical="center"/>
    </xf>
    <xf numFmtId="3" fontId="0" fillId="33" borderId="33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0" fillId="33" borderId="19" xfId="0" applyNumberFormat="1" applyFill="1" applyBorder="1" applyAlignment="1">
      <alignment horizontal="center" vertical="center"/>
    </xf>
    <xf numFmtId="3" fontId="0" fillId="33" borderId="35" xfId="0" applyNumberFormat="1" applyFill="1" applyBorder="1" applyAlignment="1">
      <alignment horizontal="center" vertical="center"/>
    </xf>
    <xf numFmtId="3" fontId="0" fillId="33" borderId="15" xfId="0" applyNumberForma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 wrapText="1"/>
    </xf>
    <xf numFmtId="4" fontId="4" fillId="35" borderId="22" xfId="0" applyNumberFormat="1" applyFont="1" applyFill="1" applyBorder="1" applyAlignment="1">
      <alignment/>
    </xf>
    <xf numFmtId="4" fontId="4" fillId="35" borderId="32" xfId="0" applyNumberFormat="1" applyFont="1" applyFill="1" applyBorder="1" applyAlignment="1">
      <alignment/>
    </xf>
    <xf numFmtId="0" fontId="0" fillId="36" borderId="34" xfId="0" applyFill="1" applyBorder="1" applyAlignment="1">
      <alignment/>
    </xf>
    <xf numFmtId="0" fontId="9" fillId="36" borderId="34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3" borderId="36" xfId="0" applyFill="1" applyBorder="1" applyAlignment="1">
      <alignment horizontal="center" vertical="center"/>
    </xf>
    <xf numFmtId="0" fontId="0" fillId="33" borderId="39" xfId="0" applyFill="1" applyBorder="1" applyAlignment="1">
      <alignment vertical="center" wrapText="1"/>
    </xf>
    <xf numFmtId="4" fontId="0" fillId="35" borderId="17" xfId="0" applyNumberFormat="1" applyFill="1" applyBorder="1" applyAlignment="1">
      <alignment/>
    </xf>
    <xf numFmtId="4" fontId="0" fillId="35" borderId="15" xfId="0" applyNumberFormat="1" applyFill="1" applyBorder="1" applyAlignment="1">
      <alignment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vertical="center" wrapText="1"/>
    </xf>
    <xf numFmtId="4" fontId="0" fillId="35" borderId="21" xfId="0" applyNumberFormat="1" applyFill="1" applyBorder="1" applyAlignment="1">
      <alignment/>
    </xf>
    <xf numFmtId="4" fontId="0" fillId="35" borderId="29" xfId="0" applyNumberFormat="1" applyFill="1" applyBorder="1" applyAlignment="1">
      <alignment/>
    </xf>
    <xf numFmtId="0" fontId="4" fillId="33" borderId="42" xfId="0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4" fontId="0" fillId="35" borderId="19" xfId="0" applyNumberFormat="1" applyFill="1" applyBorder="1" applyAlignment="1">
      <alignment/>
    </xf>
    <xf numFmtId="4" fontId="4" fillId="35" borderId="43" xfId="0" applyNumberFormat="1" applyFont="1" applyFill="1" applyBorder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vertical="center" wrapText="1"/>
    </xf>
    <xf numFmtId="4" fontId="4" fillId="35" borderId="45" xfId="0" applyNumberFormat="1" applyFont="1" applyFill="1" applyBorder="1" applyAlignment="1">
      <alignment horizontal="right" vertical="center"/>
    </xf>
    <xf numFmtId="4" fontId="4" fillId="35" borderId="46" xfId="0" applyNumberFormat="1" applyFont="1" applyFill="1" applyBorder="1" applyAlignment="1">
      <alignment horizontal="right" vertical="center"/>
    </xf>
    <xf numFmtId="4" fontId="4" fillId="35" borderId="33" xfId="0" applyNumberFormat="1" applyFont="1" applyFill="1" applyBorder="1" applyAlignment="1">
      <alignment horizontal="right"/>
    </xf>
    <xf numFmtId="4" fontId="0" fillId="35" borderId="19" xfId="0" applyNumberFormat="1" applyFill="1" applyBorder="1" applyAlignment="1">
      <alignment horizontal="right" vertical="center"/>
    </xf>
    <xf numFmtId="4" fontId="0" fillId="35" borderId="35" xfId="0" applyNumberFormat="1" applyFill="1" applyBorder="1" applyAlignment="1">
      <alignment horizontal="right" vertical="center"/>
    </xf>
    <xf numFmtId="4" fontId="0" fillId="35" borderId="35" xfId="0" applyNumberFormat="1" applyFill="1" applyBorder="1" applyAlignment="1">
      <alignment horizontal="right"/>
    </xf>
    <xf numFmtId="0" fontId="4" fillId="33" borderId="3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 wrapText="1"/>
    </xf>
    <xf numFmtId="4" fontId="4" fillId="35" borderId="22" xfId="0" applyNumberFormat="1" applyFont="1" applyFill="1" applyBorder="1" applyAlignment="1">
      <alignment horizontal="right" vertical="center"/>
    </xf>
    <xf numFmtId="4" fontId="4" fillId="35" borderId="43" xfId="0" applyNumberFormat="1" applyFont="1" applyFill="1" applyBorder="1" applyAlignment="1">
      <alignment horizontal="right" vertical="center"/>
    </xf>
    <xf numFmtId="4" fontId="4" fillId="35" borderId="26" xfId="0" applyNumberFormat="1" applyFont="1" applyFill="1" applyBorder="1" applyAlignment="1">
      <alignment horizontal="right" vertical="center"/>
    </xf>
    <xf numFmtId="4" fontId="0" fillId="35" borderId="21" xfId="0" applyNumberFormat="1" applyFill="1" applyBorder="1" applyAlignment="1">
      <alignment horizontal="right" vertical="center"/>
    </xf>
    <xf numFmtId="4" fontId="0" fillId="35" borderId="29" xfId="0" applyNumberFormat="1" applyFill="1" applyBorder="1" applyAlignment="1">
      <alignment horizontal="right" vertical="center"/>
    </xf>
    <xf numFmtId="4" fontId="0" fillId="35" borderId="29" xfId="0" applyNumberFormat="1" applyFill="1" applyBorder="1" applyAlignment="1">
      <alignment horizontal="right"/>
    </xf>
    <xf numFmtId="4" fontId="4" fillId="35" borderId="46" xfId="0" applyNumberFormat="1" applyFont="1" applyFill="1" applyBorder="1" applyAlignment="1">
      <alignment horizontal="right"/>
    </xf>
    <xf numFmtId="0" fontId="4" fillId="33" borderId="43" xfId="0" applyFont="1" applyFill="1" applyBorder="1" applyAlignment="1">
      <alignment vertical="center" wrapText="1"/>
    </xf>
    <xf numFmtId="4" fontId="4" fillId="35" borderId="32" xfId="0" applyNumberFormat="1" applyFont="1" applyFill="1" applyBorder="1" applyAlignment="1">
      <alignment horizontal="right" vertical="center"/>
    </xf>
    <xf numFmtId="4" fontId="0" fillId="35" borderId="17" xfId="0" applyNumberFormat="1" applyFill="1" applyBorder="1" applyAlignment="1">
      <alignment horizontal="right" vertical="center"/>
    </xf>
    <xf numFmtId="4" fontId="0" fillId="35" borderId="15" xfId="0" applyNumberFormat="1" applyFill="1" applyBorder="1" applyAlignment="1">
      <alignment horizontal="right" vertical="center"/>
    </xf>
    <xf numFmtId="4" fontId="10" fillId="35" borderId="22" xfId="0" applyNumberFormat="1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23" xfId="0" applyFill="1" applyBorder="1" applyAlignment="1">
      <alignment/>
    </xf>
    <xf numFmtId="4" fontId="11" fillId="35" borderId="17" xfId="0" applyNumberFormat="1" applyFont="1" applyFill="1" applyBorder="1" applyAlignment="1">
      <alignment/>
    </xf>
    <xf numFmtId="4" fontId="11" fillId="35" borderId="21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7" borderId="17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3" fontId="6" fillId="33" borderId="48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9" fillId="35" borderId="22" xfId="0" applyNumberFormat="1" applyFont="1" applyFill="1" applyBorder="1" applyAlignment="1">
      <alignment/>
    </xf>
    <xf numFmtId="0" fontId="0" fillId="33" borderId="36" xfId="0" applyFill="1" applyBorder="1" applyAlignment="1">
      <alignment horizontal="center" vertical="center"/>
    </xf>
    <xf numFmtId="0" fontId="0" fillId="33" borderId="39" xfId="0" applyFill="1" applyBorder="1" applyAlignment="1">
      <alignment vertical="center" wrapText="1"/>
    </xf>
    <xf numFmtId="4" fontId="0" fillId="35" borderId="19" xfId="0" applyNumberFormat="1" applyFill="1" applyBorder="1" applyAlignment="1">
      <alignment horizontal="right" vertical="center"/>
    </xf>
    <xf numFmtId="4" fontId="0" fillId="35" borderId="35" xfId="0" applyNumberFormat="1" applyFill="1" applyBorder="1" applyAlignment="1">
      <alignment horizontal="right" vertical="center"/>
    </xf>
    <xf numFmtId="4" fontId="0" fillId="35" borderId="13" xfId="0" applyNumberFormat="1" applyFill="1" applyBorder="1" applyAlignment="1">
      <alignment horizontal="right" vertical="center"/>
    </xf>
    <xf numFmtId="4" fontId="9" fillId="35" borderId="50" xfId="0" applyNumberFormat="1" applyFont="1" applyFill="1" applyBorder="1" applyAlignment="1">
      <alignment horizontal="right" vertical="center"/>
    </xf>
    <xf numFmtId="4" fontId="9" fillId="35" borderId="51" xfId="0" applyNumberFormat="1" applyFont="1" applyFill="1" applyBorder="1" applyAlignment="1">
      <alignment horizontal="right" vertical="center"/>
    </xf>
    <xf numFmtId="0" fontId="9" fillId="33" borderId="36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/>
    </xf>
    <xf numFmtId="0" fontId="11" fillId="33" borderId="39" xfId="0" applyFont="1" applyFill="1" applyBorder="1" applyAlignment="1">
      <alignment vertical="center" wrapText="1"/>
    </xf>
    <xf numFmtId="0" fontId="9" fillId="33" borderId="37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" fontId="0" fillId="35" borderId="22" xfId="0" applyNumberFormat="1" applyFill="1" applyBorder="1" applyAlignment="1">
      <alignment horizontal="right" vertical="center"/>
    </xf>
    <xf numFmtId="0" fontId="0" fillId="33" borderId="37" xfId="0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/>
    </xf>
    <xf numFmtId="0" fontId="11" fillId="33" borderId="36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0" fillId="33" borderId="40" xfId="0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 wrapText="1"/>
    </xf>
    <xf numFmtId="4" fontId="9" fillId="35" borderId="22" xfId="0" applyNumberFormat="1" applyFont="1" applyFill="1" applyBorder="1" applyAlignment="1">
      <alignment horizontal="right" vertical="center"/>
    </xf>
    <xf numFmtId="0" fontId="10" fillId="33" borderId="36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1" xfId="0" applyFill="1" applyBorder="1" applyAlignment="1">
      <alignment/>
    </xf>
    <xf numFmtId="0" fontId="4" fillId="0" borderId="21" xfId="0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4" fillId="0" borderId="45" xfId="0" applyNumberFormat="1" applyFon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4" fontId="4" fillId="0" borderId="43" xfId="0" applyNumberFormat="1" applyFon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0" fillId="0" borderId="22" xfId="0" applyNumberFormat="1" applyFill="1" applyBorder="1" applyAlignment="1">
      <alignment/>
    </xf>
    <xf numFmtId="4" fontId="4" fillId="0" borderId="22" xfId="0" applyNumberFormat="1" applyFon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4" fontId="9" fillId="0" borderId="51" xfId="0" applyNumberFormat="1" applyFont="1" applyFill="1" applyBorder="1" applyAlignment="1">
      <alignment horizontal="right" vertical="center"/>
    </xf>
    <xf numFmtId="3" fontId="0" fillId="33" borderId="19" xfId="0" applyNumberFormat="1" applyFill="1" applyBorder="1" applyAlignment="1" applyProtection="1">
      <alignment horizontal="center" vertical="center"/>
      <protection/>
    </xf>
    <xf numFmtId="3" fontId="0" fillId="33" borderId="45" xfId="0" applyNumberFormat="1" applyFill="1" applyBorder="1" applyAlignment="1" applyProtection="1">
      <alignment horizontal="center" vertical="center"/>
      <protection/>
    </xf>
    <xf numFmtId="3" fontId="0" fillId="33" borderId="13" xfId="0" applyNumberForma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4" fontId="4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ill="1" applyBorder="1" applyAlignment="1" applyProtection="1">
      <alignment horizontal="left" vertical="center" wrapText="1"/>
      <protection/>
    </xf>
    <xf numFmtId="4" fontId="0" fillId="33" borderId="19" xfId="0" applyNumberFormat="1" applyFill="1" applyBorder="1" applyAlignment="1" applyProtection="1">
      <alignment horizontal="center" vertical="center" wrapText="1"/>
      <protection/>
    </xf>
    <xf numFmtId="4" fontId="0" fillId="33" borderId="45" xfId="0" applyNumberFormat="1" applyFill="1" applyBorder="1" applyAlignment="1" applyProtection="1">
      <alignment horizontal="center" vertical="center" wrapText="1"/>
      <protection/>
    </xf>
    <xf numFmtId="4" fontId="0" fillId="33" borderId="13" xfId="0" applyNumberFormat="1" applyFill="1" applyBorder="1" applyAlignment="1" applyProtection="1">
      <alignment horizontal="center" vertical="center" wrapText="1"/>
      <protection/>
    </xf>
    <xf numFmtId="3" fontId="0" fillId="34" borderId="19" xfId="0" applyNumberFormat="1" applyFill="1" applyBorder="1" applyAlignment="1" applyProtection="1">
      <alignment horizontal="center" vertical="center"/>
      <protection locked="0"/>
    </xf>
    <xf numFmtId="3" fontId="0" fillId="34" borderId="45" xfId="0" applyNumberFormat="1" applyFill="1" applyBorder="1" applyAlignment="1" applyProtection="1">
      <alignment horizontal="center" vertical="center"/>
      <protection locked="0"/>
    </xf>
    <xf numFmtId="3" fontId="0" fillId="34" borderId="13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 textRotation="90"/>
      <protection/>
    </xf>
    <xf numFmtId="4" fontId="0" fillId="33" borderId="45" xfId="0" applyNumberFormat="1" applyFill="1" applyBorder="1" applyAlignment="1" applyProtection="1">
      <alignment horizontal="center" vertical="center" textRotation="90"/>
      <protection/>
    </xf>
    <xf numFmtId="4" fontId="0" fillId="33" borderId="13" xfId="0" applyNumberFormat="1" applyFill="1" applyBorder="1" applyAlignment="1" applyProtection="1">
      <alignment horizontal="center" vertical="center" textRotation="90"/>
      <protection/>
    </xf>
    <xf numFmtId="4" fontId="4" fillId="33" borderId="25" xfId="0" applyNumberFormat="1" applyFont="1" applyFill="1" applyBorder="1" applyAlignment="1" applyProtection="1">
      <alignment horizontal="center" vertical="center"/>
      <protection/>
    </xf>
    <xf numFmtId="4" fontId="4" fillId="33" borderId="20" xfId="0" applyNumberFormat="1" applyFont="1" applyFill="1" applyBorder="1" applyAlignment="1" applyProtection="1">
      <alignment horizontal="center" vertical="center"/>
      <protection/>
    </xf>
    <xf numFmtId="4" fontId="4" fillId="33" borderId="52" xfId="0" applyNumberFormat="1" applyFont="1" applyFill="1" applyBorder="1" applyAlignment="1" applyProtection="1">
      <alignment horizontal="center" vertical="center"/>
      <protection/>
    </xf>
    <xf numFmtId="4" fontId="4" fillId="33" borderId="19" xfId="0" applyNumberFormat="1" applyFont="1" applyFill="1" applyBorder="1" applyAlignment="1" applyProtection="1">
      <alignment horizontal="center" vertical="center" textRotation="90" wrapText="1"/>
      <protection/>
    </xf>
    <xf numFmtId="4" fontId="4" fillId="33" borderId="45" xfId="0" applyNumberFormat="1" applyFont="1" applyFill="1" applyBorder="1" applyAlignment="1" applyProtection="1">
      <alignment horizontal="center" vertical="center" textRotation="90" wrapText="1"/>
      <protection/>
    </xf>
    <xf numFmtId="4" fontId="4" fillId="33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4" fontId="4" fillId="33" borderId="46" xfId="0" applyNumberFormat="1" applyFont="1" applyFill="1" applyBorder="1" applyAlignment="1" applyProtection="1">
      <alignment horizontal="center" vertical="center"/>
      <protection/>
    </xf>
    <xf numFmtId="4" fontId="4" fillId="33" borderId="44" xfId="0" applyNumberFormat="1" applyFont="1" applyFill="1" applyBorder="1" applyAlignment="1" applyProtection="1">
      <alignment horizontal="center" vertical="center"/>
      <protection/>
    </xf>
    <xf numFmtId="4" fontId="0" fillId="33" borderId="35" xfId="0" applyNumberFormat="1" applyFill="1" applyBorder="1" applyAlignment="1" applyProtection="1">
      <alignment horizontal="center" vertical="center" textRotation="90"/>
      <protection/>
    </xf>
    <xf numFmtId="4" fontId="0" fillId="33" borderId="46" xfId="0" applyNumberFormat="1" applyFill="1" applyBorder="1" applyAlignment="1" applyProtection="1">
      <alignment horizontal="center" vertical="center" textRotation="90"/>
      <protection/>
    </xf>
    <xf numFmtId="4" fontId="0" fillId="33" borderId="33" xfId="0" applyNumberFormat="1" applyFill="1" applyBorder="1" applyAlignment="1" applyProtection="1">
      <alignment horizontal="center" vertical="center" textRotation="90"/>
      <protection/>
    </xf>
    <xf numFmtId="0" fontId="0" fillId="0" borderId="16" xfId="0" applyBorder="1" applyAlignment="1">
      <alignment horizontal="center" vertical="center"/>
    </xf>
    <xf numFmtId="4" fontId="7" fillId="33" borderId="17" xfId="0" applyNumberFormat="1" applyFont="1" applyFill="1" applyBorder="1" applyAlignment="1" applyProtection="1">
      <alignment horizontal="left" vertical="center" wrapText="1"/>
      <protection/>
    </xf>
    <xf numFmtId="4" fontId="0" fillId="33" borderId="17" xfId="0" applyNumberFormat="1" applyFill="1" applyBorder="1" applyAlignment="1" applyProtection="1">
      <alignment horizontal="left" vertical="center" wrapText="1"/>
      <protection/>
    </xf>
    <xf numFmtId="4" fontId="7" fillId="33" borderId="19" xfId="0" applyNumberFormat="1" applyFont="1" applyFill="1" applyBorder="1" applyAlignment="1" applyProtection="1">
      <alignment horizontal="left" vertical="center" wrapText="1"/>
      <protection/>
    </xf>
    <xf numFmtId="4" fontId="4" fillId="33" borderId="35" xfId="0" applyNumberFormat="1" applyFont="1" applyFill="1" applyBorder="1" applyAlignment="1" applyProtection="1">
      <alignment horizontal="center" vertical="center" wrapText="1"/>
      <protection/>
    </xf>
    <xf numFmtId="4" fontId="4" fillId="33" borderId="39" xfId="0" applyNumberFormat="1" applyFont="1" applyFill="1" applyBorder="1" applyAlignment="1" applyProtection="1">
      <alignment horizontal="center" vertical="center" wrapText="1"/>
      <protection/>
    </xf>
    <xf numFmtId="4" fontId="4" fillId="33" borderId="19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34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left" vertical="center" wrapText="1"/>
      <protection/>
    </xf>
    <xf numFmtId="0" fontId="0" fillId="33" borderId="41" xfId="0" applyFill="1" applyBorder="1" applyAlignment="1" applyProtection="1">
      <alignment horizontal="left" vertical="center" wrapText="1"/>
      <protection/>
    </xf>
    <xf numFmtId="4" fontId="7" fillId="33" borderId="15" xfId="0" applyNumberFormat="1" applyFont="1" applyFill="1" applyBorder="1" applyAlignment="1" applyProtection="1">
      <alignment horizontal="left" vertical="center" wrapText="1"/>
      <protection/>
    </xf>
    <xf numFmtId="4" fontId="7" fillId="33" borderId="16" xfId="0" applyNumberFormat="1" applyFont="1" applyFill="1" applyBorder="1" applyAlignment="1" applyProtection="1">
      <alignment horizontal="left" vertical="center" wrapText="1"/>
      <protection/>
    </xf>
    <xf numFmtId="0" fontId="4" fillId="33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9" fillId="0" borderId="57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4" fontId="0" fillId="35" borderId="29" xfId="0" applyNumberFormat="1" applyFill="1" applyBorder="1" applyAlignment="1">
      <alignment wrapText="1"/>
    </xf>
    <xf numFmtId="0" fontId="0" fillId="0" borderId="58" xfId="0" applyBorder="1" applyAlignment="1">
      <alignment wrapText="1"/>
    </xf>
    <xf numFmtId="0" fontId="6" fillId="33" borderId="59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4" fontId="14" fillId="0" borderId="49" xfId="0" applyNumberFormat="1" applyFont="1" applyFill="1" applyBorder="1" applyAlignment="1">
      <alignment vertical="center" wrapText="1"/>
    </xf>
    <xf numFmtId="4" fontId="14" fillId="0" borderId="6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0" borderId="54" xfId="0" applyFont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33" borderId="33" xfId="0" applyFont="1" applyFill="1" applyBorder="1" applyAlignment="1">
      <alignment horizontal="left" vertical="center" wrapText="1"/>
    </xf>
    <xf numFmtId="0" fontId="13" fillId="0" borderId="61" xfId="0" applyFon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62" xfId="0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9" fillId="35" borderId="32" xfId="0" applyNumberFormat="1" applyFont="1" applyFill="1" applyBorder="1" applyAlignment="1">
      <alignment wrapText="1"/>
    </xf>
    <xf numFmtId="4" fontId="9" fillId="35" borderId="63" xfId="0" applyNumberFormat="1" applyFont="1" applyFill="1" applyBorder="1" applyAlignment="1">
      <alignment wrapText="1"/>
    </xf>
    <xf numFmtId="4" fontId="0" fillId="35" borderId="33" xfId="0" applyNumberFormat="1" applyFill="1" applyBorder="1" applyAlignment="1">
      <alignment wrapText="1"/>
    </xf>
    <xf numFmtId="4" fontId="0" fillId="35" borderId="64" xfId="0" applyNumberFormat="1" applyFill="1" applyBorder="1" applyAlignment="1">
      <alignment wrapText="1"/>
    </xf>
    <xf numFmtId="4" fontId="0" fillId="35" borderId="58" xfId="0" applyNumberFormat="1" applyFill="1" applyBorder="1" applyAlignment="1">
      <alignment wrapText="1"/>
    </xf>
    <xf numFmtId="4" fontId="0" fillId="35" borderId="35" xfId="0" applyNumberFormat="1" applyFill="1" applyBorder="1" applyAlignment="1">
      <alignment wrapText="1"/>
    </xf>
    <xf numFmtId="4" fontId="0" fillId="35" borderId="65" xfId="0" applyNumberFormat="1" applyFill="1" applyBorder="1" applyAlignment="1">
      <alignment wrapText="1"/>
    </xf>
    <xf numFmtId="4" fontId="50" fillId="35" borderId="32" xfId="0" applyNumberFormat="1" applyFont="1" applyFill="1" applyBorder="1" applyAlignment="1">
      <alignment wrapText="1"/>
    </xf>
    <xf numFmtId="0" fontId="50" fillId="0" borderId="63" xfId="0" applyFont="1" applyBorder="1" applyAlignment="1">
      <alignment wrapText="1"/>
    </xf>
    <xf numFmtId="4" fontId="0" fillId="35" borderId="15" xfId="0" applyNumberFormat="1" applyFill="1" applyBorder="1" applyAlignment="1">
      <alignment wrapText="1"/>
    </xf>
    <xf numFmtId="0" fontId="0" fillId="0" borderId="66" xfId="0" applyBorder="1" applyAlignment="1">
      <alignment wrapText="1"/>
    </xf>
    <xf numFmtId="4" fontId="0" fillId="35" borderId="66" xfId="0" applyNumberFormat="1" applyFill="1" applyBorder="1" applyAlignment="1">
      <alignment wrapText="1"/>
    </xf>
    <xf numFmtId="0" fontId="0" fillId="33" borderId="28" xfId="0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4" fontId="10" fillId="35" borderId="32" xfId="0" applyNumberFormat="1" applyFont="1" applyFill="1" applyBorder="1" applyAlignment="1">
      <alignment/>
    </xf>
    <xf numFmtId="4" fontId="10" fillId="35" borderId="63" xfId="0" applyNumberFormat="1" applyFont="1" applyFill="1" applyBorder="1" applyAlignment="1">
      <alignment/>
    </xf>
    <xf numFmtId="4" fontId="11" fillId="35" borderId="15" xfId="0" applyNumberFormat="1" applyFont="1" applyFill="1" applyBorder="1" applyAlignment="1">
      <alignment/>
    </xf>
    <xf numFmtId="4" fontId="11" fillId="35" borderId="66" xfId="0" applyNumberFormat="1" applyFont="1" applyFill="1" applyBorder="1" applyAlignment="1">
      <alignment/>
    </xf>
    <xf numFmtId="4" fontId="11" fillId="35" borderId="29" xfId="0" applyNumberFormat="1" applyFont="1" applyFill="1" applyBorder="1" applyAlignment="1">
      <alignment/>
    </xf>
    <xf numFmtId="4" fontId="11" fillId="35" borderId="58" xfId="0" applyNumberFormat="1" applyFont="1" applyFill="1" applyBorder="1" applyAlignment="1">
      <alignment/>
    </xf>
    <xf numFmtId="0" fontId="4" fillId="33" borderId="45" xfId="0" applyFont="1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28" xfId="0" applyFill="1" applyBorder="1" applyAlignment="1">
      <alignment/>
    </xf>
    <xf numFmtId="4" fontId="9" fillId="35" borderId="33" xfId="0" applyNumberFormat="1" applyFont="1" applyFill="1" applyBorder="1" applyAlignment="1">
      <alignment wrapText="1"/>
    </xf>
    <xf numFmtId="4" fontId="9" fillId="35" borderId="64" xfId="0" applyNumberFormat="1" applyFont="1" applyFill="1" applyBorder="1" applyAlignment="1">
      <alignment wrapText="1"/>
    </xf>
    <xf numFmtId="0" fontId="4" fillId="33" borderId="67" xfId="0" applyFont="1" applyFill="1" applyBorder="1" applyAlignment="1">
      <alignment horizontal="center" vertical="center" wrapText="1"/>
    </xf>
    <xf numFmtId="0" fontId="0" fillId="33" borderId="68" xfId="0" applyFill="1" applyBorder="1" applyAlignment="1">
      <alignment wrapText="1"/>
    </xf>
    <xf numFmtId="0" fontId="9" fillId="33" borderId="69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4" fontId="9" fillId="33" borderId="33" xfId="0" applyNumberFormat="1" applyFont="1" applyFill="1" applyBorder="1" applyAlignment="1">
      <alignment vertical="center" wrapText="1"/>
    </xf>
    <xf numFmtId="4" fontId="9" fillId="33" borderId="62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3" borderId="70" xfId="0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4" fontId="0" fillId="33" borderId="15" xfId="0" applyNumberFormat="1" applyFill="1" applyBorder="1" applyAlignment="1">
      <alignment vertical="center" wrapText="1"/>
    </xf>
    <xf numFmtId="4" fontId="0" fillId="33" borderId="16" xfId="0" applyNumberForma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4" fontId="9" fillId="33" borderId="15" xfId="0" applyNumberFormat="1" applyFont="1" applyFill="1" applyBorder="1" applyAlignment="1">
      <alignment wrapText="1"/>
    </xf>
    <xf numFmtId="4" fontId="9" fillId="33" borderId="16" xfId="0" applyNumberFormat="1" applyFont="1" applyFill="1" applyBorder="1" applyAlignment="1">
      <alignment wrapText="1"/>
    </xf>
    <xf numFmtId="0" fontId="4" fillId="33" borderId="35" xfId="0" applyFont="1" applyFill="1" applyBorder="1" applyAlignment="1">
      <alignment horizontal="left" vertical="center" wrapText="1"/>
    </xf>
    <xf numFmtId="0" fontId="0" fillId="33" borderId="71" xfId="0" applyFill="1" applyBorder="1" applyAlignment="1">
      <alignment/>
    </xf>
    <xf numFmtId="0" fontId="0" fillId="33" borderId="35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4" fillId="33" borderId="0" xfId="0" applyFont="1" applyFill="1" applyAlignment="1">
      <alignment horizontal="right"/>
    </xf>
    <xf numFmtId="0" fontId="4" fillId="33" borderId="30" xfId="0" applyFont="1" applyFill="1" applyBorder="1" applyAlignment="1">
      <alignment horizontal="right"/>
    </xf>
    <xf numFmtId="0" fontId="4" fillId="33" borderId="37" xfId="0" applyFont="1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4" fillId="33" borderId="43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4" fillId="33" borderId="4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0" fillId="33" borderId="68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Kaminska-Kwiek\Pulpit\BUDZET\bud&#380;et%202011\WPF\RG%2022%2002%202011%20zmiana\BUDZET\bud&#380;et%202011\WPF\WPF%20r&#243;zne%20materia&#322;y%20do%20projektu\BUDZET\bud&#380;et%202011\WPF\WPF\WPF%20LUCYNA%20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Kaminska-Kwiek\Pulpit\BUDZET\bud&#380;et%202011\WPF\RG%2022%2002%202011%20zmiana\BUDZET\bud&#380;et%202011\WPF\WPF%20r&#243;zne%20materia&#322;y%20do%20projektu\WPF2010-WERSJA%20B%20BIS%20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"/>
      <sheetName val="finansowanie zadań 2011"/>
      <sheetName val="lata 2008-2009"/>
      <sheetName val="Przedsięwzięcia"/>
      <sheetName val="Ciągłość"/>
      <sheetName val="Finansowanie zadań 2012"/>
      <sheetName val="Finansowanie zadan 2013"/>
      <sheetName val="finansowanie zadań 20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Prognoza 2008-2009"/>
      <sheetName val="2. WPF 2010-2023"/>
      <sheetName val="3. przedsięwzięcia majatkowe"/>
      <sheetName val="4. ciągłość"/>
      <sheetName val="finansowanie zadań 2011"/>
      <sheetName val="Finansowanie zadań 2012"/>
      <sheetName val="Finansowanie zadan 2013"/>
      <sheetName val="finansowanie zadań 2014"/>
    </sheetNames>
    <sheetDataSet>
      <sheetData sheetId="0">
        <row r="16">
          <cell r="C16">
            <v>0.07074910452747107</v>
          </cell>
          <cell r="D16">
            <v>0.06360460976363444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9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.57421875" style="0" customWidth="1"/>
    <col min="2" max="2" width="7.28125" style="0" customWidth="1"/>
    <col min="3" max="3" width="43.00390625" style="0" customWidth="1"/>
    <col min="4" max="4" width="15.00390625" style="0" customWidth="1"/>
    <col min="5" max="5" width="16.140625" style="0" customWidth="1"/>
    <col min="6" max="6" width="15.140625" style="0" customWidth="1"/>
    <col min="7" max="7" width="16.7109375" style="0" customWidth="1"/>
    <col min="8" max="8" width="15.8515625" style="0" customWidth="1"/>
    <col min="9" max="9" width="15.421875" style="0" customWidth="1"/>
    <col min="10" max="10" width="16.00390625" style="0" customWidth="1"/>
    <col min="11" max="11" width="15.57421875" style="0" customWidth="1"/>
    <col min="12" max="12" width="16.00390625" style="0" customWidth="1"/>
    <col min="13" max="13" width="15.57421875" style="0" customWidth="1"/>
    <col min="14" max="14" width="16.28125" style="0" customWidth="1"/>
    <col min="15" max="15" width="16.00390625" style="0" customWidth="1"/>
    <col min="16" max="16" width="16.7109375" style="0" customWidth="1"/>
    <col min="17" max="17" width="13.00390625" style="0" customWidth="1"/>
  </cols>
  <sheetData>
    <row r="1" spans="1:27" ht="15.75">
      <c r="A1" s="1"/>
      <c r="B1" s="233" t="s">
        <v>146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67"/>
      <c r="S1" s="3"/>
      <c r="T1" s="3"/>
      <c r="U1" s="3"/>
      <c r="V1" s="3"/>
      <c r="W1" s="3"/>
      <c r="X1" s="3"/>
      <c r="Y1" s="3"/>
      <c r="Z1" s="3"/>
      <c r="AA1" s="3"/>
    </row>
    <row r="2" spans="1:27" ht="15.75">
      <c r="A2" s="1"/>
      <c r="B2" s="4"/>
      <c r="C2" s="5"/>
      <c r="D2" s="4"/>
      <c r="E2" s="6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7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1"/>
      <c r="B3" s="4"/>
      <c r="C3" s="5"/>
      <c r="D3" s="4"/>
      <c r="E3" s="4"/>
      <c r="F3" s="7" t="s">
        <v>1</v>
      </c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67"/>
      <c r="S3" s="3"/>
      <c r="T3" s="3"/>
      <c r="U3" s="3"/>
      <c r="V3" s="3"/>
      <c r="W3" s="3"/>
      <c r="X3" s="3"/>
      <c r="Y3" s="3"/>
      <c r="Z3" s="3"/>
      <c r="AA3" s="3"/>
    </row>
    <row r="4" spans="1:27" ht="15.75" thickBot="1">
      <c r="A4" s="1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7"/>
      <c r="S4" s="3"/>
      <c r="T4" s="3"/>
      <c r="U4" s="3"/>
      <c r="V4" s="3"/>
      <c r="W4" s="3"/>
      <c r="X4" s="3"/>
      <c r="Y4" s="3"/>
      <c r="Z4" s="3"/>
      <c r="AA4" s="3"/>
    </row>
    <row r="5" spans="1:27" ht="24.75" customHeight="1" thickBot="1">
      <c r="A5" s="8" t="s">
        <v>2</v>
      </c>
      <c r="B5" s="235" t="s">
        <v>3</v>
      </c>
      <c r="C5" s="236"/>
      <c r="D5" s="9">
        <v>2010</v>
      </c>
      <c r="E5" s="9">
        <v>2011</v>
      </c>
      <c r="F5" s="9">
        <v>2012</v>
      </c>
      <c r="G5" s="9">
        <v>2013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  <c r="O5" s="9">
        <v>2021</v>
      </c>
      <c r="P5" s="9">
        <v>2022</v>
      </c>
      <c r="Q5" s="9">
        <v>2023</v>
      </c>
      <c r="R5" s="67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10" t="s">
        <v>4</v>
      </c>
      <c r="B6" s="237" t="s">
        <v>5</v>
      </c>
      <c r="C6" s="238"/>
      <c r="D6" s="11">
        <f aca="true" t="shared" si="0" ref="D6:Q6">D7+D8</f>
        <v>12447009</v>
      </c>
      <c r="E6" s="11">
        <f>SUM(E7:E8)</f>
        <v>15500853</v>
      </c>
      <c r="F6" s="11">
        <f>SUM(F7:F8)</f>
        <v>19733687</v>
      </c>
      <c r="G6" s="11">
        <f>SUM(G7:G8)</f>
        <v>17153900</v>
      </c>
      <c r="H6" s="11">
        <f>SUM(H7:H8)</f>
        <v>15940425</v>
      </c>
      <c r="I6" s="11">
        <f>SUM(I7:I8)</f>
        <v>13556846</v>
      </c>
      <c r="J6" s="11">
        <f t="shared" si="0"/>
        <v>13729780</v>
      </c>
      <c r="K6" s="11">
        <f t="shared" si="0"/>
        <v>13729226</v>
      </c>
      <c r="L6" s="11">
        <f t="shared" si="0"/>
        <v>13680750</v>
      </c>
      <c r="M6" s="11">
        <f t="shared" si="0"/>
        <v>13979450</v>
      </c>
      <c r="N6" s="11">
        <f t="shared" si="0"/>
        <v>14380750</v>
      </c>
      <c r="O6" s="11">
        <f t="shared" si="0"/>
        <v>14580750</v>
      </c>
      <c r="P6" s="11">
        <f t="shared" si="0"/>
        <v>14651750</v>
      </c>
      <c r="Q6" s="11">
        <f t="shared" si="0"/>
        <v>14900000</v>
      </c>
      <c r="R6" s="68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12" t="s">
        <v>6</v>
      </c>
      <c r="B7" s="13"/>
      <c r="C7" s="14" t="s">
        <v>7</v>
      </c>
      <c r="D7" s="15">
        <v>11790688</v>
      </c>
      <c r="E7" s="15">
        <v>13122571</v>
      </c>
      <c r="F7" s="15">
        <v>12814687</v>
      </c>
      <c r="G7" s="15">
        <v>12956020</v>
      </c>
      <c r="H7" s="15">
        <v>12990425</v>
      </c>
      <c r="I7" s="15">
        <v>13156846</v>
      </c>
      <c r="J7" s="15">
        <v>13329780</v>
      </c>
      <c r="K7" s="15">
        <v>13329226</v>
      </c>
      <c r="L7" s="15">
        <v>13280750</v>
      </c>
      <c r="M7" s="15">
        <v>13579450</v>
      </c>
      <c r="N7" s="15">
        <v>14080750</v>
      </c>
      <c r="O7" s="15">
        <v>14280750</v>
      </c>
      <c r="P7" s="15">
        <v>14351750</v>
      </c>
      <c r="Q7" s="15">
        <v>14600000</v>
      </c>
      <c r="R7" s="69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12" t="s">
        <v>8</v>
      </c>
      <c r="B8" s="13"/>
      <c r="C8" s="14" t="s">
        <v>9</v>
      </c>
      <c r="D8" s="15">
        <v>656321</v>
      </c>
      <c r="E8" s="15">
        <v>2378282</v>
      </c>
      <c r="F8" s="16">
        <v>6919000</v>
      </c>
      <c r="G8" s="16">
        <v>4197880</v>
      </c>
      <c r="H8" s="16">
        <v>2950000</v>
      </c>
      <c r="I8" s="16">
        <v>400000</v>
      </c>
      <c r="J8" s="16">
        <v>400000</v>
      </c>
      <c r="K8" s="16">
        <v>400000</v>
      </c>
      <c r="L8" s="16">
        <v>400000</v>
      </c>
      <c r="M8" s="16">
        <v>400000</v>
      </c>
      <c r="N8" s="16">
        <v>300000</v>
      </c>
      <c r="O8" s="16">
        <v>300000</v>
      </c>
      <c r="P8" s="16">
        <v>300000</v>
      </c>
      <c r="Q8" s="16">
        <v>300000</v>
      </c>
      <c r="R8" s="69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17"/>
      <c r="B9" s="18" t="s">
        <v>10</v>
      </c>
      <c r="C9" s="19" t="s">
        <v>11</v>
      </c>
      <c r="D9" s="16">
        <v>400000</v>
      </c>
      <c r="E9" s="16">
        <v>500000</v>
      </c>
      <c r="F9" s="16">
        <v>400000</v>
      </c>
      <c r="G9" s="16">
        <v>400000</v>
      </c>
      <c r="H9" s="16">
        <v>400000</v>
      </c>
      <c r="I9" s="16">
        <v>400000</v>
      </c>
      <c r="J9" s="16">
        <v>400000</v>
      </c>
      <c r="K9" s="16">
        <v>400000</v>
      </c>
      <c r="L9" s="16">
        <v>400000</v>
      </c>
      <c r="M9" s="16">
        <v>400000</v>
      </c>
      <c r="N9" s="16">
        <v>300000</v>
      </c>
      <c r="O9" s="16">
        <v>300000</v>
      </c>
      <c r="P9" s="16">
        <v>300000</v>
      </c>
      <c r="Q9" s="16">
        <v>300000</v>
      </c>
      <c r="R9" s="67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20" t="s">
        <v>12</v>
      </c>
      <c r="B10" s="215" t="s">
        <v>13</v>
      </c>
      <c r="C10" s="216"/>
      <c r="D10" s="21">
        <f aca="true" t="shared" si="1" ref="D10:Q10">D11+D19</f>
        <v>13348635</v>
      </c>
      <c r="E10" s="21">
        <f t="shared" si="1"/>
        <v>17886518</v>
      </c>
      <c r="F10" s="21">
        <f t="shared" si="1"/>
        <v>20991907</v>
      </c>
      <c r="G10" s="21">
        <f t="shared" si="1"/>
        <v>16699120</v>
      </c>
      <c r="H10" s="21">
        <f t="shared" si="1"/>
        <v>15063420</v>
      </c>
      <c r="I10" s="21">
        <f t="shared" si="1"/>
        <v>12720416</v>
      </c>
      <c r="J10" s="21">
        <f t="shared" si="1"/>
        <v>12896950</v>
      </c>
      <c r="K10" s="21">
        <f t="shared" si="1"/>
        <v>13127621</v>
      </c>
      <c r="L10" s="21">
        <f t="shared" si="1"/>
        <v>13085102</v>
      </c>
      <c r="M10" s="21">
        <f t="shared" si="1"/>
        <v>13379425</v>
      </c>
      <c r="N10" s="21">
        <f t="shared" si="1"/>
        <v>13832177</v>
      </c>
      <c r="O10" s="21">
        <f t="shared" si="1"/>
        <v>14068825</v>
      </c>
      <c r="P10" s="21">
        <f t="shared" si="1"/>
        <v>14210625</v>
      </c>
      <c r="Q10" s="21">
        <f t="shared" si="1"/>
        <v>14727875</v>
      </c>
      <c r="R10" s="68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12" t="s">
        <v>6</v>
      </c>
      <c r="B11" s="13"/>
      <c r="C11" s="14" t="s">
        <v>7</v>
      </c>
      <c r="D11" s="15">
        <v>11032166</v>
      </c>
      <c r="E11" s="15">
        <v>12026507</v>
      </c>
      <c r="F11" s="15">
        <v>11958907</v>
      </c>
      <c r="G11" s="15">
        <v>10769120</v>
      </c>
      <c r="H11" s="15">
        <v>12263420</v>
      </c>
      <c r="I11" s="15">
        <v>12215416</v>
      </c>
      <c r="J11" s="15">
        <v>12226950</v>
      </c>
      <c r="K11" s="15">
        <v>12352621</v>
      </c>
      <c r="L11" s="15">
        <v>12297177</v>
      </c>
      <c r="M11" s="15">
        <v>12474425</v>
      </c>
      <c r="N11" s="15">
        <v>12870177</v>
      </c>
      <c r="O11" s="15">
        <v>13098825</v>
      </c>
      <c r="P11" s="15">
        <v>13230625</v>
      </c>
      <c r="Q11" s="15">
        <v>13832875</v>
      </c>
      <c r="R11" s="69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17"/>
      <c r="B12" s="239" t="s">
        <v>10</v>
      </c>
      <c r="C12" s="19" t="s">
        <v>14</v>
      </c>
      <c r="D12" s="16">
        <v>80820</v>
      </c>
      <c r="E12" s="22">
        <v>146230</v>
      </c>
      <c r="F12" s="16">
        <v>159400</v>
      </c>
      <c r="G12" s="16">
        <v>140000</v>
      </c>
      <c r="H12" s="16">
        <v>130000</v>
      </c>
      <c r="I12" s="16">
        <v>95000</v>
      </c>
      <c r="J12" s="16">
        <v>80000</v>
      </c>
      <c r="K12" s="16">
        <v>75000</v>
      </c>
      <c r="L12" s="16">
        <v>60000</v>
      </c>
      <c r="M12" s="16">
        <v>45000</v>
      </c>
      <c r="N12" s="16">
        <v>38000</v>
      </c>
      <c r="O12" s="16">
        <v>30000</v>
      </c>
      <c r="P12" s="16">
        <v>20000</v>
      </c>
      <c r="Q12" s="16">
        <v>5000</v>
      </c>
      <c r="R12" s="67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17"/>
      <c r="B13" s="240"/>
      <c r="C13" s="19" t="s">
        <v>15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67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17"/>
      <c r="B14" s="240"/>
      <c r="C14" s="19" t="s">
        <v>16</v>
      </c>
      <c r="D14" s="16">
        <v>5408374.84</v>
      </c>
      <c r="E14" s="16">
        <v>5759205.1</v>
      </c>
      <c r="F14" s="16">
        <v>5723700</v>
      </c>
      <c r="G14" s="23">
        <v>5779115</v>
      </c>
      <c r="H14" s="23">
        <v>5952480</v>
      </c>
      <c r="I14" s="23">
        <v>6131065</v>
      </c>
      <c r="J14" s="23">
        <v>6314900</v>
      </c>
      <c r="K14" s="23">
        <v>6504445</v>
      </c>
      <c r="L14" s="23">
        <v>6699579</v>
      </c>
      <c r="M14" s="23">
        <v>6900500</v>
      </c>
      <c r="N14" s="23">
        <v>7107584</v>
      </c>
      <c r="O14" s="23">
        <v>7320811</v>
      </c>
      <c r="P14" s="23">
        <v>7540435</v>
      </c>
      <c r="Q14" s="23">
        <v>7766640</v>
      </c>
      <c r="R14" s="67"/>
      <c r="S14" s="3"/>
      <c r="T14" s="3"/>
      <c r="U14" s="3"/>
      <c r="V14" s="3"/>
      <c r="W14" s="3"/>
      <c r="X14" s="3"/>
      <c r="Y14" s="3"/>
      <c r="Z14" s="3"/>
      <c r="AA14" s="3"/>
    </row>
    <row r="15" spans="1:27" ht="30">
      <c r="A15" s="17"/>
      <c r="B15" s="240"/>
      <c r="C15" s="19" t="s">
        <v>17</v>
      </c>
      <c r="D15" s="16">
        <v>2380744</v>
      </c>
      <c r="E15" s="24">
        <v>2491047</v>
      </c>
      <c r="F15" s="24">
        <v>2538558</v>
      </c>
      <c r="G15" s="24">
        <v>2545997</v>
      </c>
      <c r="H15" s="24">
        <v>2622377</v>
      </c>
      <c r="I15" s="24">
        <v>2701050</v>
      </c>
      <c r="J15" s="24">
        <v>2782080</v>
      </c>
      <c r="K15" s="24">
        <v>2865540</v>
      </c>
      <c r="L15" s="24">
        <v>2951510</v>
      </c>
      <c r="M15" s="24">
        <v>3040050</v>
      </c>
      <c r="N15" s="24">
        <v>3131256</v>
      </c>
      <c r="O15" s="24">
        <v>3225194</v>
      </c>
      <c r="P15" s="24">
        <v>3321950</v>
      </c>
      <c r="Q15" s="24">
        <v>3421610</v>
      </c>
      <c r="R15" s="67"/>
      <c r="S15" s="25"/>
      <c r="T15" s="25"/>
      <c r="U15" s="25"/>
      <c r="V15" s="25"/>
      <c r="W15" s="25"/>
      <c r="X15" s="25"/>
      <c r="Y15" s="3"/>
      <c r="Z15" s="3"/>
      <c r="AA15" s="3"/>
    </row>
    <row r="16" spans="1:27" ht="25.5" customHeight="1">
      <c r="A16" s="17"/>
      <c r="B16" s="240"/>
      <c r="C16" s="218" t="s">
        <v>18</v>
      </c>
      <c r="D16" s="221" t="s">
        <v>19</v>
      </c>
      <c r="E16" s="212">
        <v>63000</v>
      </c>
      <c r="F16" s="212">
        <v>63000</v>
      </c>
      <c r="G16" s="212">
        <v>63000</v>
      </c>
      <c r="H16" s="212">
        <v>63000</v>
      </c>
      <c r="I16" s="212">
        <v>63000</v>
      </c>
      <c r="J16" s="212" t="e">
        <f>'[1]Przedsięwzięcia'!L5+'[1]Przedsięwzięcia'!L8+'[1]Przedsięwzięcia'!L81</f>
        <v>#REF!</v>
      </c>
      <c r="K16" s="212" t="e">
        <f>'[1]Przedsięwzięcia'!M5+'[1]Przedsięwzięcia'!M8+'[1]Przedsięwzięcia'!M81</f>
        <v>#REF!</v>
      </c>
      <c r="L16" s="212" t="e">
        <f>'[1]Przedsięwzięcia'!N5+'[1]Przedsięwzięcia'!N8+'[1]Przedsięwzięcia'!N81</f>
        <v>#REF!</v>
      </c>
      <c r="M16" s="212" t="e">
        <f>'[1]Przedsięwzięcia'!O5+'[1]Przedsięwzięcia'!O8+'[1]Przedsięwzięcia'!O81</f>
        <v>#REF!</v>
      </c>
      <c r="N16" s="212" t="e">
        <f>'[1]Przedsięwzięcia'!P5+'[1]Przedsięwzięcia'!P8+'[1]Przedsięwzięcia'!P81</f>
        <v>#REF!</v>
      </c>
      <c r="O16" s="212" t="e">
        <f>'[1]Przedsięwzięcia'!Q5+'[1]Przedsięwzięcia'!Q8+'[1]Przedsięwzięcia'!Q81</f>
        <v>#REF!</v>
      </c>
      <c r="P16" s="212" t="e">
        <f>'[1]Przedsięwzięcia'!R5+'[1]Przedsięwzięcia'!R8+'[1]Przedsięwzięcia'!R81</f>
        <v>#REF!</v>
      </c>
      <c r="Q16" s="212" t="e">
        <f>'[1]Przedsięwzięcia'!S5+'[1]Przedsięwzięcia'!S8+'[1]Przedsięwzięcia'!S81</f>
        <v>#REF!</v>
      </c>
      <c r="R16" s="67"/>
      <c r="S16" s="3"/>
      <c r="T16" s="3"/>
      <c r="U16" s="3"/>
      <c r="V16" s="3"/>
      <c r="W16" s="3"/>
      <c r="X16" s="3"/>
      <c r="Y16" s="3"/>
      <c r="Z16" s="3"/>
      <c r="AA16" s="3"/>
    </row>
    <row r="17" spans="1:27" ht="25.5" customHeight="1">
      <c r="A17" s="17"/>
      <c r="B17" s="240"/>
      <c r="C17" s="219"/>
      <c r="D17" s="222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67"/>
      <c r="S17" s="3"/>
      <c r="T17" s="3"/>
      <c r="U17" s="3"/>
      <c r="V17" s="3"/>
      <c r="W17" s="3"/>
      <c r="X17" s="3"/>
      <c r="Y17" s="3"/>
      <c r="Z17" s="3"/>
      <c r="AA17" s="3"/>
    </row>
    <row r="18" spans="1:27" ht="25.5" customHeight="1">
      <c r="A18" s="17"/>
      <c r="B18" s="241"/>
      <c r="C18" s="220"/>
      <c r="D18" s="223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67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12" t="s">
        <v>8</v>
      </c>
      <c r="B19" s="13"/>
      <c r="C19" s="14" t="s">
        <v>9</v>
      </c>
      <c r="D19" s="15">
        <v>2316469</v>
      </c>
      <c r="E19" s="15">
        <v>5860011</v>
      </c>
      <c r="F19" s="15">
        <v>9033000</v>
      </c>
      <c r="G19" s="15">
        <v>5930000</v>
      </c>
      <c r="H19" s="15">
        <v>2800000</v>
      </c>
      <c r="I19" s="15">
        <v>505000</v>
      </c>
      <c r="J19" s="15">
        <v>670000</v>
      </c>
      <c r="K19" s="15">
        <v>775000</v>
      </c>
      <c r="L19" s="15">
        <v>787925</v>
      </c>
      <c r="M19" s="15">
        <v>905000</v>
      </c>
      <c r="N19" s="15">
        <v>962000</v>
      </c>
      <c r="O19" s="15">
        <v>970000</v>
      </c>
      <c r="P19" s="15">
        <v>980000</v>
      </c>
      <c r="Q19" s="15">
        <v>895000</v>
      </c>
      <c r="R19" s="69"/>
      <c r="S19" s="3"/>
      <c r="T19" s="3"/>
      <c r="U19" s="3"/>
      <c r="V19" s="3"/>
      <c r="W19" s="3"/>
      <c r="X19" s="3"/>
      <c r="Y19" s="3"/>
      <c r="Z19" s="3"/>
      <c r="AA19" s="3"/>
    </row>
    <row r="20" spans="1:27" ht="33.75">
      <c r="A20" s="17"/>
      <c r="B20" s="26" t="s">
        <v>10</v>
      </c>
      <c r="C20" s="27" t="s">
        <v>18</v>
      </c>
      <c r="D20" s="28" t="s">
        <v>19</v>
      </c>
      <c r="E20" s="29">
        <v>4251365.62</v>
      </c>
      <c r="F20" s="29">
        <v>8785000</v>
      </c>
      <c r="G20" s="29">
        <v>5503212</v>
      </c>
      <c r="H20" s="29">
        <v>2776765</v>
      </c>
      <c r="I20" s="29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67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20" t="s">
        <v>20</v>
      </c>
      <c r="B21" s="215" t="s">
        <v>21</v>
      </c>
      <c r="C21" s="216"/>
      <c r="D21" s="21">
        <f>D22+D26+D27+D28</f>
        <v>1686910</v>
      </c>
      <c r="E21" s="21">
        <f aca="true" t="shared" si="2" ref="E21:Q21">E22+E26+E27+E28</f>
        <v>3080000</v>
      </c>
      <c r="F21" s="21">
        <v>2464000</v>
      </c>
      <c r="G21" s="21">
        <f t="shared" si="2"/>
        <v>350000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>L22+L26+L27+L28</f>
        <v>0</v>
      </c>
      <c r="M21" s="21">
        <f t="shared" si="2"/>
        <v>0</v>
      </c>
      <c r="N21" s="21">
        <f t="shared" si="2"/>
        <v>0</v>
      </c>
      <c r="O21" s="21">
        <f t="shared" si="2"/>
        <v>0</v>
      </c>
      <c r="P21" s="21">
        <f t="shared" si="2"/>
        <v>0</v>
      </c>
      <c r="Q21" s="21">
        <f t="shared" si="2"/>
        <v>0</v>
      </c>
      <c r="R21" s="68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12" t="s">
        <v>6</v>
      </c>
      <c r="B22" s="13"/>
      <c r="C22" s="14" t="s">
        <v>22</v>
      </c>
      <c r="D22" s="31">
        <f>SUM(D23:D25)</f>
        <v>1686910</v>
      </c>
      <c r="E22" s="31">
        <v>3080000</v>
      </c>
      <c r="F22" s="31">
        <v>2464000</v>
      </c>
      <c r="G22" s="31">
        <f aca="true" t="shared" si="3" ref="G22:Q22">G23+G24+G25</f>
        <v>350000</v>
      </c>
      <c r="H22" s="31">
        <f t="shared" si="3"/>
        <v>0</v>
      </c>
      <c r="I22" s="31">
        <f t="shared" si="3"/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  <c r="M22" s="31">
        <f t="shared" si="3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69"/>
      <c r="S22" s="3"/>
      <c r="T22" s="3"/>
      <c r="U22" s="3"/>
      <c r="V22" s="3"/>
      <c r="W22" s="3"/>
      <c r="X22" s="3"/>
      <c r="Y22" s="3"/>
      <c r="Z22" s="3"/>
      <c r="AA22" s="3"/>
    </row>
    <row r="23" spans="1:27" ht="15">
      <c r="A23" s="17"/>
      <c r="B23" s="224" t="s">
        <v>10</v>
      </c>
      <c r="C23" s="19" t="s">
        <v>23</v>
      </c>
      <c r="D23" s="16">
        <v>86910</v>
      </c>
      <c r="E23" s="16">
        <v>90000</v>
      </c>
      <c r="F23" s="16">
        <v>1384000</v>
      </c>
      <c r="G23" s="16">
        <v>350000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67"/>
      <c r="S23" s="3"/>
      <c r="T23" s="3"/>
      <c r="U23" s="3"/>
      <c r="V23" s="3"/>
      <c r="W23" s="3"/>
      <c r="X23" s="3"/>
      <c r="Y23" s="3"/>
      <c r="Z23" s="3"/>
      <c r="AA23" s="3"/>
    </row>
    <row r="24" spans="1:27" ht="15">
      <c r="A24" s="17"/>
      <c r="B24" s="225"/>
      <c r="C24" s="19" t="s">
        <v>24</v>
      </c>
      <c r="D24" s="16">
        <v>1600000</v>
      </c>
      <c r="E24" s="16">
        <v>2990000</v>
      </c>
      <c r="F24" s="16">
        <v>1080000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67"/>
      <c r="S24" s="3"/>
      <c r="T24" s="3"/>
      <c r="U24" s="3"/>
      <c r="V24" s="3"/>
      <c r="W24" s="3"/>
      <c r="X24" s="3"/>
      <c r="Y24" s="3"/>
      <c r="Z24" s="3"/>
      <c r="AA24" s="3"/>
    </row>
    <row r="25" spans="1:27" ht="15">
      <c r="A25" s="17"/>
      <c r="B25" s="226"/>
      <c r="C25" s="19" t="s">
        <v>25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67"/>
      <c r="S25" s="3"/>
      <c r="T25" s="3"/>
      <c r="U25" s="3"/>
      <c r="V25" s="3"/>
      <c r="W25" s="3"/>
      <c r="X25" s="3"/>
      <c r="Y25" s="3"/>
      <c r="Z25" s="3"/>
      <c r="AA25" s="3"/>
    </row>
    <row r="26" spans="1:27" ht="15">
      <c r="A26" s="12" t="s">
        <v>8</v>
      </c>
      <c r="B26" s="13"/>
      <c r="C26" s="14" t="s">
        <v>26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9"/>
      <c r="S26" s="3"/>
      <c r="T26" s="3"/>
      <c r="U26" s="3"/>
      <c r="V26" s="3"/>
      <c r="W26" s="3"/>
      <c r="X26" s="3"/>
      <c r="Y26" s="3"/>
      <c r="Z26" s="3"/>
      <c r="AA26" s="3"/>
    </row>
    <row r="27" spans="1:27" ht="15">
      <c r="A27" s="12" t="s">
        <v>27</v>
      </c>
      <c r="B27" s="13"/>
      <c r="C27" s="14" t="s">
        <v>28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9"/>
      <c r="S27" s="3"/>
      <c r="T27" s="3"/>
      <c r="U27" s="3"/>
      <c r="V27" s="3"/>
      <c r="W27" s="3"/>
      <c r="X27" s="3"/>
      <c r="Y27" s="3"/>
      <c r="Z27" s="3"/>
      <c r="AA27" s="3"/>
    </row>
    <row r="28" spans="1:27" ht="15">
      <c r="A28" s="12" t="s">
        <v>29</v>
      </c>
      <c r="B28" s="13"/>
      <c r="C28" s="14" t="s">
        <v>30</v>
      </c>
      <c r="D28" s="15">
        <v>0</v>
      </c>
      <c r="E28" s="15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9"/>
      <c r="S28" s="3"/>
      <c r="T28" s="3"/>
      <c r="U28" s="3"/>
      <c r="V28" s="3"/>
      <c r="W28" s="3"/>
      <c r="X28" s="3"/>
      <c r="Y28" s="3"/>
      <c r="Z28" s="3"/>
      <c r="AA28" s="3"/>
    </row>
    <row r="29" spans="1:27" ht="15">
      <c r="A29" s="20" t="s">
        <v>31</v>
      </c>
      <c r="B29" s="215" t="s">
        <v>32</v>
      </c>
      <c r="C29" s="216"/>
      <c r="D29" s="21">
        <f>D30+D34</f>
        <v>768617.01</v>
      </c>
      <c r="E29" s="21">
        <f aca="true" t="shared" si="4" ref="E29:Q29">E30+E34</f>
        <v>694335</v>
      </c>
      <c r="F29" s="21">
        <f t="shared" si="4"/>
        <v>1205780</v>
      </c>
      <c r="G29" s="21">
        <f t="shared" si="4"/>
        <v>804780</v>
      </c>
      <c r="H29" s="21">
        <f t="shared" si="4"/>
        <v>877005</v>
      </c>
      <c r="I29" s="21">
        <f t="shared" si="4"/>
        <v>836430</v>
      </c>
      <c r="J29" s="21">
        <f t="shared" si="4"/>
        <v>832830</v>
      </c>
      <c r="K29" s="21">
        <f t="shared" si="4"/>
        <v>601605</v>
      </c>
      <c r="L29" s="21">
        <f t="shared" si="4"/>
        <v>595648</v>
      </c>
      <c r="M29" s="21">
        <f>M30+M34</f>
        <v>600025</v>
      </c>
      <c r="N29" s="21">
        <f>N30+N34</f>
        <v>548573</v>
      </c>
      <c r="O29" s="21">
        <f t="shared" si="4"/>
        <v>511925</v>
      </c>
      <c r="P29" s="21">
        <f t="shared" si="4"/>
        <v>441125</v>
      </c>
      <c r="Q29" s="21">
        <f t="shared" si="4"/>
        <v>172125</v>
      </c>
      <c r="R29" s="68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12" t="s">
        <v>6</v>
      </c>
      <c r="B30" s="13"/>
      <c r="C30" s="14" t="s">
        <v>33</v>
      </c>
      <c r="D30" s="31">
        <v>768617.01</v>
      </c>
      <c r="E30" s="31">
        <f>SUM(E31:E33)</f>
        <v>694335</v>
      </c>
      <c r="F30" s="31">
        <f>SUM(F31:F33)</f>
        <v>1205780</v>
      </c>
      <c r="G30" s="31">
        <v>804780</v>
      </c>
      <c r="H30" s="31">
        <v>877005</v>
      </c>
      <c r="I30" s="31">
        <v>836430</v>
      </c>
      <c r="J30" s="31">
        <v>832830</v>
      </c>
      <c r="K30" s="31">
        <v>601605</v>
      </c>
      <c r="L30" s="31">
        <v>595648</v>
      </c>
      <c r="M30" s="31">
        <v>600025</v>
      </c>
      <c r="N30" s="31">
        <v>548573</v>
      </c>
      <c r="O30" s="31">
        <v>511925</v>
      </c>
      <c r="P30" s="31">
        <v>441125</v>
      </c>
      <c r="Q30" s="31">
        <v>172125</v>
      </c>
      <c r="R30" s="69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17"/>
      <c r="B31" s="224" t="s">
        <v>10</v>
      </c>
      <c r="C31" s="19" t="s">
        <v>23</v>
      </c>
      <c r="D31" s="16">
        <v>0</v>
      </c>
      <c r="E31" s="16">
        <v>160735</v>
      </c>
      <c r="F31" s="16">
        <v>160780</v>
      </c>
      <c r="G31" s="16">
        <v>160780</v>
      </c>
      <c r="H31" s="16">
        <v>160780</v>
      </c>
      <c r="I31" s="16">
        <v>160780</v>
      </c>
      <c r="J31" s="16">
        <v>160780</v>
      </c>
      <c r="K31" s="16">
        <v>160780</v>
      </c>
      <c r="L31" s="16">
        <v>124823</v>
      </c>
      <c r="M31" s="16">
        <v>104200</v>
      </c>
      <c r="N31" s="16">
        <v>28748</v>
      </c>
      <c r="O31" s="16">
        <v>0</v>
      </c>
      <c r="P31" s="16">
        <v>0</v>
      </c>
      <c r="Q31" s="16">
        <v>0</v>
      </c>
      <c r="R31" s="67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17"/>
      <c r="B32" s="225"/>
      <c r="C32" s="19" t="s">
        <v>24</v>
      </c>
      <c r="D32" s="16">
        <v>0</v>
      </c>
      <c r="E32" s="16">
        <v>533600</v>
      </c>
      <c r="F32" s="16">
        <v>1045000</v>
      </c>
      <c r="G32" s="16">
        <v>644000</v>
      </c>
      <c r="H32" s="16">
        <v>716225</v>
      </c>
      <c r="I32" s="16">
        <v>675650</v>
      </c>
      <c r="J32" s="16">
        <v>672050</v>
      </c>
      <c r="K32" s="16">
        <v>440825</v>
      </c>
      <c r="L32" s="16">
        <v>470825</v>
      </c>
      <c r="M32" s="16">
        <v>495825</v>
      </c>
      <c r="N32" s="16">
        <v>519825</v>
      </c>
      <c r="O32" s="16">
        <v>511925</v>
      </c>
      <c r="P32" s="16">
        <v>441125</v>
      </c>
      <c r="Q32" s="16">
        <v>172125</v>
      </c>
      <c r="R32" s="67"/>
      <c r="S32" s="3"/>
      <c r="T32" s="3"/>
      <c r="U32" s="3"/>
      <c r="V32" s="3"/>
      <c r="W32" s="3"/>
      <c r="X32" s="3"/>
      <c r="Y32" s="3"/>
      <c r="Z32" s="3"/>
      <c r="AA32" s="3"/>
    </row>
    <row r="33" spans="1:27" ht="15">
      <c r="A33" s="17"/>
      <c r="B33" s="226"/>
      <c r="C33" s="19" t="s">
        <v>34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67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12" t="s">
        <v>8</v>
      </c>
      <c r="B34" s="13"/>
      <c r="C34" s="14" t="s">
        <v>35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9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20" t="s">
        <v>36</v>
      </c>
      <c r="B35" s="215" t="s">
        <v>37</v>
      </c>
      <c r="C35" s="216"/>
      <c r="D35" s="21">
        <f aca="true" t="shared" si="5" ref="D35:P35">D6-D10</f>
        <v>-901626</v>
      </c>
      <c r="E35" s="21">
        <f t="shared" si="5"/>
        <v>-2385665</v>
      </c>
      <c r="F35" s="21">
        <f t="shared" si="5"/>
        <v>-1258220</v>
      </c>
      <c r="G35" s="21">
        <f t="shared" si="5"/>
        <v>454780</v>
      </c>
      <c r="H35" s="21">
        <f t="shared" si="5"/>
        <v>877005</v>
      </c>
      <c r="I35" s="21">
        <f t="shared" si="5"/>
        <v>836430</v>
      </c>
      <c r="J35" s="21">
        <f t="shared" si="5"/>
        <v>832830</v>
      </c>
      <c r="K35" s="21">
        <f>K6-K10</f>
        <v>601605</v>
      </c>
      <c r="L35" s="21">
        <f>L6-L10</f>
        <v>595648</v>
      </c>
      <c r="M35" s="21">
        <f t="shared" si="5"/>
        <v>600025</v>
      </c>
      <c r="N35" s="21">
        <f t="shared" si="5"/>
        <v>548573</v>
      </c>
      <c r="O35" s="21">
        <f t="shared" si="5"/>
        <v>511925</v>
      </c>
      <c r="P35" s="21">
        <f t="shared" si="5"/>
        <v>441125</v>
      </c>
      <c r="Q35" s="21">
        <v>172125</v>
      </c>
      <c r="R35" s="68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20" t="s">
        <v>38</v>
      </c>
      <c r="B36" s="215" t="s">
        <v>39</v>
      </c>
      <c r="C36" s="216"/>
      <c r="D36" s="21">
        <f>D37+D38+D39+D40+D41+D42</f>
        <v>901626</v>
      </c>
      <c r="E36" s="21">
        <f aca="true" t="shared" si="6" ref="E36:Q36">E37+E38+E39+E40+E41+E42</f>
        <v>2385665</v>
      </c>
      <c r="F36" s="21">
        <f t="shared" si="6"/>
        <v>1258220</v>
      </c>
      <c r="G36" s="21">
        <f t="shared" si="6"/>
        <v>0</v>
      </c>
      <c r="H36" s="21">
        <f t="shared" si="6"/>
        <v>0</v>
      </c>
      <c r="I36" s="21">
        <f t="shared" si="6"/>
        <v>0</v>
      </c>
      <c r="J36" s="21">
        <f t="shared" si="6"/>
        <v>0</v>
      </c>
      <c r="K36" s="21">
        <f>K37+K38+K39+K40+K41+K42</f>
        <v>0</v>
      </c>
      <c r="L36" s="21">
        <f>L37+L38+L39+L40+L41+L42</f>
        <v>0</v>
      </c>
      <c r="M36" s="21"/>
      <c r="N36" s="21"/>
      <c r="O36" s="21">
        <f t="shared" si="6"/>
        <v>0</v>
      </c>
      <c r="P36" s="21">
        <f>P37+P38+P39+P40+P41+P42</f>
        <v>0</v>
      </c>
      <c r="Q36" s="21">
        <f t="shared" si="6"/>
        <v>0</v>
      </c>
      <c r="R36" s="68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17"/>
      <c r="B37" s="32"/>
      <c r="C37" s="33" t="s">
        <v>23</v>
      </c>
      <c r="D37" s="29">
        <f>IF(D35&lt;0,IF(D23&gt;(-D35),(-D35),D23),0)</f>
        <v>86910</v>
      </c>
      <c r="E37" s="29">
        <f aca="true" t="shared" si="7" ref="E37:Q37">IF(E35&lt;0,IF(E23&gt;(-E35),(-E35),E23),0)</f>
        <v>90000</v>
      </c>
      <c r="F37" s="29">
        <v>258220</v>
      </c>
      <c r="G37" s="29">
        <f t="shared" si="7"/>
        <v>0</v>
      </c>
      <c r="H37" s="29">
        <f t="shared" si="7"/>
        <v>0</v>
      </c>
      <c r="I37" s="29">
        <f t="shared" si="7"/>
        <v>0</v>
      </c>
      <c r="J37" s="29">
        <f t="shared" si="7"/>
        <v>0</v>
      </c>
      <c r="K37" s="29">
        <f>IF(K35&lt;0,IF(K23&gt;(-K35),(-K35),K23),0)</f>
        <v>0</v>
      </c>
      <c r="L37" s="29">
        <f>IF(L35&lt;0,IF(L23&gt;(-L35),(-L35),L23),0)</f>
        <v>0</v>
      </c>
      <c r="M37" s="29"/>
      <c r="N37" s="29"/>
      <c r="O37" s="29">
        <f t="shared" si="7"/>
        <v>0</v>
      </c>
      <c r="P37" s="29">
        <f>IF(P35&lt;0,IF(P23&gt;(-P35),(-P35),P23),0)</f>
        <v>0</v>
      </c>
      <c r="Q37" s="29">
        <f t="shared" si="7"/>
        <v>0</v>
      </c>
      <c r="R37" s="67"/>
      <c r="S37" s="3"/>
      <c r="T37" s="3"/>
      <c r="U37" s="3"/>
      <c r="V37" s="3"/>
      <c r="W37" s="3"/>
      <c r="X37" s="3"/>
      <c r="Y37" s="3"/>
      <c r="Z37" s="3"/>
      <c r="AA37" s="3"/>
    </row>
    <row r="38" spans="1:27" ht="15">
      <c r="A38" s="17"/>
      <c r="B38" s="32"/>
      <c r="C38" s="33" t="s">
        <v>24</v>
      </c>
      <c r="D38" s="29">
        <f aca="true" t="shared" si="8" ref="D38:Q38">IF((D37+D35)&lt;0,IF(D24&gt;(-D35-D37),(-D35-D37),D24),0)</f>
        <v>814716</v>
      </c>
      <c r="E38" s="29">
        <f t="shared" si="8"/>
        <v>2295665</v>
      </c>
      <c r="F38" s="29">
        <f t="shared" si="8"/>
        <v>1000000</v>
      </c>
      <c r="G38" s="29">
        <f t="shared" si="8"/>
        <v>0</v>
      </c>
      <c r="H38" s="29">
        <f t="shared" si="8"/>
        <v>0</v>
      </c>
      <c r="I38" s="29">
        <f t="shared" si="8"/>
        <v>0</v>
      </c>
      <c r="J38" s="29">
        <f t="shared" si="8"/>
        <v>0</v>
      </c>
      <c r="K38" s="29">
        <f>IF((K37+K35)&lt;0,IF(K24&gt;(-K35-K37),(-K35-K37),K24),0)</f>
        <v>0</v>
      </c>
      <c r="L38" s="29">
        <f>IF((L37+L35)&lt;0,IF(L24&gt;(-L35-L37),(-L35-L37),L24),0)</f>
        <v>0</v>
      </c>
      <c r="M38" s="29"/>
      <c r="N38" s="29"/>
      <c r="O38" s="29">
        <f t="shared" si="8"/>
        <v>0</v>
      </c>
      <c r="P38" s="29">
        <f>IF((P37+P35)&lt;0,IF(P24&gt;(-P35-P37),(-P35-P37),P24),0)</f>
        <v>0</v>
      </c>
      <c r="Q38" s="29">
        <f t="shared" si="8"/>
        <v>0</v>
      </c>
      <c r="R38" s="67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17"/>
      <c r="B39" s="32"/>
      <c r="C39" s="33" t="s">
        <v>25</v>
      </c>
      <c r="D39" s="29">
        <f>IF((D37+D35+D38)&lt;0,IF(D25&gt;(-D35-D37-D38),(-D35-D37-D38),D25),0)</f>
        <v>0</v>
      </c>
      <c r="E39" s="29">
        <f aca="true" t="shared" si="9" ref="E39:Q39">IF((E37+E35+E38)&lt;0,IF(E25&gt;(-E35-E37-E38),(-E35-E37-E38),E25),0)</f>
        <v>0</v>
      </c>
      <c r="F39" s="29">
        <f t="shared" si="9"/>
        <v>0</v>
      </c>
      <c r="G39" s="29">
        <f t="shared" si="9"/>
        <v>0</v>
      </c>
      <c r="H39" s="29">
        <f t="shared" si="9"/>
        <v>0</v>
      </c>
      <c r="I39" s="29">
        <f t="shared" si="9"/>
        <v>0</v>
      </c>
      <c r="J39" s="29">
        <f t="shared" si="9"/>
        <v>0</v>
      </c>
      <c r="K39" s="29">
        <f>IF((K37+K35+K38)&lt;0,IF(K25&gt;(-K35-K37-K38),(-K35-K37-K38),K25),0)</f>
        <v>0</v>
      </c>
      <c r="L39" s="29">
        <f>IF((L37+L35+L38)&lt;0,IF(L25&gt;(-L35-L37-L38),(-L35-L37-L38),L25),0)</f>
        <v>0</v>
      </c>
      <c r="M39" s="29"/>
      <c r="N39" s="29"/>
      <c r="O39" s="29">
        <f t="shared" si="9"/>
        <v>0</v>
      </c>
      <c r="P39" s="29">
        <f>IF((P37+P35+P38)&lt;0,IF(P25&gt;(-P35-P37-P38),(-P35-P37-P38),P25),0)</f>
        <v>0</v>
      </c>
      <c r="Q39" s="29">
        <f t="shared" si="9"/>
        <v>0</v>
      </c>
      <c r="R39" s="67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17"/>
      <c r="B40" s="32"/>
      <c r="C40" s="33" t="s">
        <v>26</v>
      </c>
      <c r="D40" s="29">
        <f>IF((D37+D35+D38+D39)&lt;0,IF(D26&gt;(-D35-D37-D38-D39),(-D35-D37-D38-D39),D26),0)</f>
        <v>0</v>
      </c>
      <c r="E40" s="29">
        <f aca="true" t="shared" si="10" ref="E40:Q40">IF((E37+E35+E38+E39)&lt;0,IF(E26&gt;(-E35-E37-E38-E39),(-E35-E37-E38-E39),E26),0)</f>
        <v>0</v>
      </c>
      <c r="F40" s="29">
        <f t="shared" si="10"/>
        <v>0</v>
      </c>
      <c r="G40" s="29">
        <f t="shared" si="10"/>
        <v>0</v>
      </c>
      <c r="H40" s="29">
        <f t="shared" si="10"/>
        <v>0</v>
      </c>
      <c r="I40" s="29">
        <f t="shared" si="10"/>
        <v>0</v>
      </c>
      <c r="J40" s="29">
        <f t="shared" si="10"/>
        <v>0</v>
      </c>
      <c r="K40" s="29">
        <f>IF((K37+K35+K38+K39)&lt;0,IF(K26&gt;(-K35-K37-K38-K39),(-K35-K37-K38-K39),K26),0)</f>
        <v>0</v>
      </c>
      <c r="L40" s="29">
        <f>IF((L37+L35+L38+L39)&lt;0,IF(L26&gt;(-L35-L37-L38-L39),(-L35-L37-L38-L39),L26),0)</f>
        <v>0</v>
      </c>
      <c r="M40" s="29"/>
      <c r="N40" s="29"/>
      <c r="O40" s="29">
        <f t="shared" si="10"/>
        <v>0</v>
      </c>
      <c r="P40" s="29">
        <f>IF((P37+P35+P38+P39)&lt;0,IF(P26&gt;(-P35-P37-P38-P39),(-P35-P37-P38-P39),P26),0)</f>
        <v>0</v>
      </c>
      <c r="Q40" s="29">
        <f t="shared" si="10"/>
        <v>0</v>
      </c>
      <c r="R40" s="67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17"/>
      <c r="B41" s="32"/>
      <c r="C41" s="33" t="s">
        <v>28</v>
      </c>
      <c r="D41" s="29">
        <f>IF((D37+D35+D38+D39+D40)&lt;0,IF(D27&gt;(-D35-D37-D38-D39-D40),(-D35-D37-D38-D39-D40),D27),0)</f>
        <v>0</v>
      </c>
      <c r="E41" s="29">
        <f aca="true" t="shared" si="11" ref="E41:Q41">IF((E37+E35+E38+E39+E40)&lt;0,IF(E27&gt;(-E35-E37-E38-E39-E40),(-E35-E37-E38-E39-E40),E27),0)</f>
        <v>0</v>
      </c>
      <c r="F41" s="29">
        <f t="shared" si="11"/>
        <v>0</v>
      </c>
      <c r="G41" s="29">
        <f t="shared" si="11"/>
        <v>0</v>
      </c>
      <c r="H41" s="29">
        <f t="shared" si="11"/>
        <v>0</v>
      </c>
      <c r="I41" s="29">
        <f t="shared" si="11"/>
        <v>0</v>
      </c>
      <c r="J41" s="29">
        <f t="shared" si="11"/>
        <v>0</v>
      </c>
      <c r="K41" s="29">
        <f>IF((K37+K35+K38+K39+K40)&lt;0,IF(K27&gt;(-K35-K37-K38-K39-K40),(-K35-K37-K38-K39-K40),K27),0)</f>
        <v>0</v>
      </c>
      <c r="L41" s="29">
        <f>IF((L37+L35+L38+L39+L40)&lt;0,IF(L27&gt;(-L35-L37-L38-L39-L40),(-L35-L37-L38-L39-L40),L27),0)</f>
        <v>0</v>
      </c>
      <c r="M41" s="29"/>
      <c r="N41" s="29"/>
      <c r="O41" s="29">
        <f t="shared" si="11"/>
        <v>0</v>
      </c>
      <c r="P41" s="29">
        <f>IF((P37+P35+P38+P39+P40)&lt;0,IF(P27&gt;(-P35-P37-P38-P39-P40),(-P35-P37-P38-P39-P40),P27),0)</f>
        <v>0</v>
      </c>
      <c r="Q41" s="29">
        <f t="shared" si="11"/>
        <v>0</v>
      </c>
      <c r="R41" s="67"/>
      <c r="S41" s="3"/>
      <c r="T41" s="3"/>
      <c r="U41" s="3"/>
      <c r="V41" s="3"/>
      <c r="W41" s="3"/>
      <c r="X41" s="3"/>
      <c r="Y41" s="3"/>
      <c r="Z41" s="3"/>
      <c r="AA41" s="3"/>
    </row>
    <row r="42" spans="1:27" ht="15">
      <c r="A42" s="17"/>
      <c r="B42" s="32"/>
      <c r="C42" s="33" t="s">
        <v>30</v>
      </c>
      <c r="D42" s="29">
        <f>IF((D37+D35+D38+D39+D40+D41)&lt;0,IF(D28&gt;(-D35-D37-D38-D39-D40-D41),(-D35-D37-D38-D39-D40-D41),D28),0)</f>
        <v>0</v>
      </c>
      <c r="E42" s="29">
        <f aca="true" t="shared" si="12" ref="E42:Q42">IF((E37+E35+E38+E39+E40+E41)&lt;0,IF(E28&gt;(-E35-E37-E38-E39-E40-E41),(-E35-E37-E38-E39-E40-E41),E28),0)</f>
        <v>0</v>
      </c>
      <c r="F42" s="29">
        <f t="shared" si="12"/>
        <v>0</v>
      </c>
      <c r="G42" s="29">
        <f t="shared" si="12"/>
        <v>0</v>
      </c>
      <c r="H42" s="29">
        <f t="shared" si="12"/>
        <v>0</v>
      </c>
      <c r="I42" s="29">
        <f t="shared" si="12"/>
        <v>0</v>
      </c>
      <c r="J42" s="29">
        <f t="shared" si="12"/>
        <v>0</v>
      </c>
      <c r="K42" s="29">
        <f>IF((K37+K35+K38+K39+K40+K41)&lt;0,IF(K28&gt;(-K35-K37-K38-K39-K40-K41),(-K35-K37-K38-K39-K40-K41),K28),0)</f>
        <v>0</v>
      </c>
      <c r="L42" s="29">
        <f>IF((L37+L35+L38+L39+L40+L41)&lt;0,IF(L28&gt;(-L35-L37-L38-L39-L40-L41),(-L35-L37-L38-L39-L40-L41),L28),0)</f>
        <v>0</v>
      </c>
      <c r="M42" s="29"/>
      <c r="N42" s="29"/>
      <c r="O42" s="29">
        <f t="shared" si="12"/>
        <v>0</v>
      </c>
      <c r="P42" s="29">
        <f>IF((P37+P35+P38+P39+P40+P41)&lt;0,IF(P28&gt;(-P35-P37-P38-P39-P40-P41),(-P35-P37-P38-P39-P40-P41),P28),0)</f>
        <v>0</v>
      </c>
      <c r="Q42" s="29">
        <f t="shared" si="12"/>
        <v>0</v>
      </c>
      <c r="R42" s="67"/>
      <c r="S42" s="3"/>
      <c r="T42" s="3"/>
      <c r="U42" s="3"/>
      <c r="V42" s="3"/>
      <c r="W42" s="3"/>
      <c r="X42" s="3"/>
      <c r="Y42" s="3"/>
      <c r="Z42" s="3"/>
      <c r="AA42" s="3"/>
    </row>
    <row r="43" spans="1:27" ht="15">
      <c r="A43" s="20" t="s">
        <v>40</v>
      </c>
      <c r="B43" s="215" t="s">
        <v>41</v>
      </c>
      <c r="C43" s="216"/>
      <c r="D43" s="21">
        <f>IF(D35&gt;0,D35,0)</f>
        <v>0</v>
      </c>
      <c r="E43" s="21">
        <f>IF(E35&gt;0,E35,0)</f>
        <v>0</v>
      </c>
      <c r="F43" s="21">
        <f aca="true" t="shared" si="13" ref="F43:P43">IF(F35&gt;0,F35,0)</f>
        <v>0</v>
      </c>
      <c r="G43" s="21">
        <f t="shared" si="13"/>
        <v>454780</v>
      </c>
      <c r="H43" s="21">
        <f t="shared" si="13"/>
        <v>877005</v>
      </c>
      <c r="I43" s="21">
        <f t="shared" si="13"/>
        <v>836430</v>
      </c>
      <c r="J43" s="21">
        <f t="shared" si="13"/>
        <v>832830</v>
      </c>
      <c r="K43" s="21">
        <f t="shared" si="13"/>
        <v>601605</v>
      </c>
      <c r="L43" s="21">
        <f t="shared" si="13"/>
        <v>595648</v>
      </c>
      <c r="M43" s="21">
        <f t="shared" si="13"/>
        <v>600025</v>
      </c>
      <c r="N43" s="21">
        <f t="shared" si="13"/>
        <v>548573</v>
      </c>
      <c r="O43" s="21">
        <f t="shared" si="13"/>
        <v>511925</v>
      </c>
      <c r="P43" s="21">
        <f t="shared" si="13"/>
        <v>441125</v>
      </c>
      <c r="Q43" s="21">
        <v>172125</v>
      </c>
      <c r="R43" s="68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17"/>
      <c r="B44" s="32"/>
      <c r="C44" s="33" t="s">
        <v>42</v>
      </c>
      <c r="D44" s="29">
        <f>D43-D45</f>
        <v>0</v>
      </c>
      <c r="E44" s="29">
        <f>E43-E45</f>
        <v>0</v>
      </c>
      <c r="F44" s="29">
        <f aca="true" t="shared" si="14" ref="F44:P44">F43-F45</f>
        <v>0</v>
      </c>
      <c r="G44" s="29">
        <f t="shared" si="14"/>
        <v>454780</v>
      </c>
      <c r="H44" s="29">
        <f t="shared" si="14"/>
        <v>877005</v>
      </c>
      <c r="I44" s="29">
        <f t="shared" si="14"/>
        <v>836430</v>
      </c>
      <c r="J44" s="29">
        <f t="shared" si="14"/>
        <v>832830</v>
      </c>
      <c r="K44" s="29">
        <f t="shared" si="14"/>
        <v>601605</v>
      </c>
      <c r="L44" s="29">
        <f t="shared" si="14"/>
        <v>595648</v>
      </c>
      <c r="M44" s="29">
        <f t="shared" si="14"/>
        <v>600025</v>
      </c>
      <c r="N44" s="29">
        <f t="shared" si="14"/>
        <v>548573</v>
      </c>
      <c r="O44" s="29">
        <f t="shared" si="14"/>
        <v>511925</v>
      </c>
      <c r="P44" s="29">
        <f t="shared" si="14"/>
        <v>441125</v>
      </c>
      <c r="Q44" s="29">
        <v>172125</v>
      </c>
      <c r="R44" s="67"/>
      <c r="S44" s="3"/>
      <c r="T44" s="3"/>
      <c r="U44" s="3"/>
      <c r="V44" s="3"/>
      <c r="W44" s="3"/>
      <c r="X44" s="3"/>
      <c r="Y44" s="3"/>
      <c r="Z44" s="3"/>
      <c r="AA44" s="3"/>
    </row>
    <row r="45" spans="1:27" ht="15">
      <c r="A45" s="17"/>
      <c r="B45" s="32"/>
      <c r="C45" s="33" t="s">
        <v>43</v>
      </c>
      <c r="D45" s="29">
        <f>IF(D35&gt;0,IF(D34&gt;D35,D35,D34),0)</f>
        <v>0</v>
      </c>
      <c r="E45" s="29">
        <f>IF(E35&gt;0,IF(E34&gt;E35,E35,E34),0)</f>
        <v>0</v>
      </c>
      <c r="F45" s="29">
        <f aca="true" t="shared" si="15" ref="F45:Q45">IF(F35&gt;0,IF(F34&gt;F35,F35,F34),0)</f>
        <v>0</v>
      </c>
      <c r="G45" s="29">
        <f t="shared" si="15"/>
        <v>0</v>
      </c>
      <c r="H45" s="29">
        <f t="shared" si="15"/>
        <v>0</v>
      </c>
      <c r="I45" s="29">
        <f t="shared" si="15"/>
        <v>0</v>
      </c>
      <c r="J45" s="29">
        <f t="shared" si="15"/>
        <v>0</v>
      </c>
      <c r="K45" s="29">
        <f t="shared" si="15"/>
        <v>0</v>
      </c>
      <c r="L45" s="29">
        <f t="shared" si="15"/>
        <v>0</v>
      </c>
      <c r="M45" s="29">
        <f t="shared" si="15"/>
        <v>0</v>
      </c>
      <c r="N45" s="29">
        <f t="shared" si="15"/>
        <v>0</v>
      </c>
      <c r="O45" s="29">
        <f t="shared" si="15"/>
        <v>0</v>
      </c>
      <c r="P45" s="29">
        <f t="shared" si="15"/>
        <v>0</v>
      </c>
      <c r="Q45" s="29">
        <f t="shared" si="15"/>
        <v>0</v>
      </c>
      <c r="R45" s="67"/>
      <c r="S45" s="3"/>
      <c r="T45" s="3"/>
      <c r="U45" s="3"/>
      <c r="V45" s="3"/>
      <c r="W45" s="3"/>
      <c r="X45" s="3"/>
      <c r="Y45" s="3"/>
      <c r="Z45" s="3"/>
      <c r="AA45" s="3"/>
    </row>
    <row r="46" spans="1:27" ht="15">
      <c r="A46" s="17"/>
      <c r="B46" s="32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67"/>
      <c r="S46" s="3"/>
      <c r="T46" s="3"/>
      <c r="U46" s="3"/>
      <c r="V46" s="3"/>
      <c r="W46" s="3"/>
      <c r="X46" s="3"/>
      <c r="Y46" s="3"/>
      <c r="Z46" s="3"/>
      <c r="AA46" s="3"/>
    </row>
    <row r="47" spans="1:27" ht="15">
      <c r="A47" s="20" t="s">
        <v>44</v>
      </c>
      <c r="B47" s="215" t="s">
        <v>45</v>
      </c>
      <c r="C47" s="242"/>
      <c r="D47" s="21">
        <v>2990389.63</v>
      </c>
      <c r="E47" s="21">
        <v>5213851</v>
      </c>
      <c r="F47" s="21">
        <v>6472071</v>
      </c>
      <c r="G47" s="21">
        <v>6017291</v>
      </c>
      <c r="H47" s="21">
        <v>5140286</v>
      </c>
      <c r="I47" s="21">
        <v>4303856</v>
      </c>
      <c r="J47" s="21">
        <v>3471026</v>
      </c>
      <c r="K47" s="21">
        <v>2869421</v>
      </c>
      <c r="L47" s="21">
        <v>2273773</v>
      </c>
      <c r="M47" s="21">
        <v>1673748</v>
      </c>
      <c r="N47" s="21">
        <v>1125175</v>
      </c>
      <c r="O47" s="21">
        <v>613250</v>
      </c>
      <c r="P47" s="21">
        <v>172125</v>
      </c>
      <c r="Q47" s="21">
        <v>0</v>
      </c>
      <c r="R47" s="68"/>
      <c r="S47" s="3"/>
      <c r="T47" s="3"/>
      <c r="U47" s="3"/>
      <c r="V47" s="3"/>
      <c r="W47" s="3"/>
      <c r="X47" s="3"/>
      <c r="Y47" s="3"/>
      <c r="Z47" s="3"/>
      <c r="AA47" s="3"/>
    </row>
    <row r="48" spans="1:26" ht="15">
      <c r="A48" s="17"/>
      <c r="B48" s="32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17"/>
      <c r="B49" s="32"/>
      <c r="C49" s="3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>
      <c r="A50" s="20" t="s">
        <v>46</v>
      </c>
      <c r="B50" s="215" t="s">
        <v>47</v>
      </c>
      <c r="C50" s="216"/>
      <c r="D50" s="38">
        <f>(D12+D30+D13+D18)/D6</f>
        <v>0.06824426735772425</v>
      </c>
      <c r="E50" s="38">
        <f>(E12+E30+E13+E18)/E6</f>
        <v>0.05422701576487436</v>
      </c>
      <c r="F50" s="38">
        <f>(F12+F30+F13+F18)/F6</f>
        <v>0.06918017905118289</v>
      </c>
      <c r="G50" s="38">
        <f>(G12+G30+G13+G18)/G6</f>
        <v>0.0550766881000822</v>
      </c>
      <c r="H50" s="39" t="s">
        <v>19</v>
      </c>
      <c r="I50" s="39" t="s">
        <v>19</v>
      </c>
      <c r="J50" s="39" t="s">
        <v>19</v>
      </c>
      <c r="K50" s="39" t="s">
        <v>19</v>
      </c>
      <c r="L50" s="39" t="s">
        <v>19</v>
      </c>
      <c r="M50" s="39" t="s">
        <v>19</v>
      </c>
      <c r="N50" s="39" t="s">
        <v>19</v>
      </c>
      <c r="O50" s="39" t="s">
        <v>19</v>
      </c>
      <c r="P50" s="39" t="s">
        <v>19</v>
      </c>
      <c r="Q50" s="39" t="s">
        <v>19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50.25" customHeight="1">
      <c r="A51" s="20" t="s">
        <v>48</v>
      </c>
      <c r="B51" s="215" t="s">
        <v>49</v>
      </c>
      <c r="C51" s="216"/>
      <c r="D51" s="38">
        <f>D47/D6</f>
        <v>0.24024965596152456</v>
      </c>
      <c r="E51" s="38">
        <f>E47/E6</f>
        <v>0.33635897327714803</v>
      </c>
      <c r="F51" s="38">
        <f>F47/F6</f>
        <v>0.32797069295768194</v>
      </c>
      <c r="G51" s="38">
        <f>G47/G6</f>
        <v>0.3507826791575094</v>
      </c>
      <c r="H51" s="39" t="s">
        <v>19</v>
      </c>
      <c r="I51" s="39" t="s">
        <v>19</v>
      </c>
      <c r="J51" s="39" t="s">
        <v>19</v>
      </c>
      <c r="K51" s="39" t="s">
        <v>19</v>
      </c>
      <c r="L51" s="39" t="s">
        <v>19</v>
      </c>
      <c r="M51" s="39" t="s">
        <v>19</v>
      </c>
      <c r="N51" s="39" t="s">
        <v>19</v>
      </c>
      <c r="O51" s="39" t="s">
        <v>19</v>
      </c>
      <c r="P51" s="39" t="s">
        <v>19</v>
      </c>
      <c r="Q51" s="39" t="s">
        <v>19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60.75" customHeight="1">
      <c r="A52" s="40" t="s">
        <v>50</v>
      </c>
      <c r="B52" s="215" t="s">
        <v>51</v>
      </c>
      <c r="C52" s="216"/>
      <c r="D52" s="41">
        <f>(D30+D12+D13+D18)/D6</f>
        <v>0.06824426735772425</v>
      </c>
      <c r="E52" s="41">
        <f>(E30+E12+E13+E18)/E6</f>
        <v>0.05422701576487436</v>
      </c>
      <c r="F52" s="41">
        <f>(F30+F12+F13+F18)/F6</f>
        <v>0.06918017905118289</v>
      </c>
      <c r="G52" s="41">
        <f>(G30+G12+G13+G18)/G6</f>
        <v>0.0550766881000822</v>
      </c>
      <c r="H52" s="41">
        <f aca="true" t="shared" si="16" ref="H52:P52">(H30+H12+H13+H18+H77)/H6</f>
        <v>0.06317303334133187</v>
      </c>
      <c r="I52" s="41">
        <f t="shared" si="16"/>
        <v>0.06870550864116919</v>
      </c>
      <c r="J52" s="41">
        <f t="shared" si="16"/>
        <v>0.06648540617548132</v>
      </c>
      <c r="K52" s="41">
        <f t="shared" si="16"/>
        <v>0.049282093542636705</v>
      </c>
      <c r="L52" s="41">
        <f t="shared" si="16"/>
        <v>0.047924857920801124</v>
      </c>
      <c r="M52" s="41">
        <f>(M30+M12+M13+M18)/M6</f>
        <v>0.04614094259788475</v>
      </c>
      <c r="N52" s="41">
        <f>(N30+N12+N13+N18)/N6</f>
        <v>0.04078876275576726</v>
      </c>
      <c r="O52" s="41">
        <f t="shared" si="16"/>
        <v>0.03716715532465751</v>
      </c>
      <c r="P52" s="41">
        <f t="shared" si="16"/>
        <v>0.031472349719316804</v>
      </c>
      <c r="Q52" s="41">
        <f>(Q30+Q12+Q13+Q18+Q77)/Q6</f>
        <v>0.011887583892617449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51" customHeight="1">
      <c r="A53" s="40" t="s">
        <v>52</v>
      </c>
      <c r="B53" s="246" t="s">
        <v>53</v>
      </c>
      <c r="C53" s="247"/>
      <c r="D53" s="42" t="s">
        <v>19</v>
      </c>
      <c r="E53" s="41">
        <f>(D66+'[2]1. Prognoza 2008-2009'!D16+'[2]1. Prognoza 2008-2009'!C16)/3</f>
        <v>0.07581001698118316</v>
      </c>
      <c r="F53" s="41">
        <f>(E66+D66+'[2]1. Prognoza 2008-2009'!D16)/3</f>
        <v>0.08654905030702738</v>
      </c>
      <c r="G53" s="41">
        <f>(F66+E66+D66)/3</f>
        <v>0.08655963354923131</v>
      </c>
      <c r="H53" s="41">
        <f aca="true" t="shared" si="17" ref="H53:Q53">(E66+F66+G66)/3</f>
        <v>0.10580264007054019</v>
      </c>
      <c r="I53" s="41">
        <f t="shared" si="17"/>
        <v>0.09504759306590317</v>
      </c>
      <c r="J53" s="41">
        <f t="shared" si="17"/>
        <v>0.10681831698379413</v>
      </c>
      <c r="K53" s="41">
        <f t="shared" si="17"/>
        <v>0.0930357615053038</v>
      </c>
      <c r="L53" s="41">
        <f t="shared" si="17"/>
        <v>0.10289147905486899</v>
      </c>
      <c r="M53" s="41">
        <f t="shared" si="17"/>
        <v>0.10361957951682595</v>
      </c>
      <c r="N53" s="41">
        <f t="shared" si="17"/>
        <v>0.1030202879040754</v>
      </c>
      <c r="O53" s="41">
        <f t="shared" si="17"/>
        <v>0.10461132339127739</v>
      </c>
      <c r="P53" s="41">
        <f t="shared" si="17"/>
        <v>0.10477895195709624</v>
      </c>
      <c r="Q53" s="41">
        <f t="shared" si="17"/>
        <v>0.10122352470811136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54" customHeight="1">
      <c r="A54" s="43" t="s">
        <v>54</v>
      </c>
      <c r="B54" s="248" t="s">
        <v>55</v>
      </c>
      <c r="C54" s="248"/>
      <c r="D54" s="42" t="s">
        <v>19</v>
      </c>
      <c r="E54" s="41">
        <f aca="true" t="shared" si="18" ref="E54:Q54">E53-E52</f>
        <v>0.021583001216308795</v>
      </c>
      <c r="F54" s="41">
        <f t="shared" si="18"/>
        <v>0.017368871255844492</v>
      </c>
      <c r="G54" s="41">
        <f t="shared" si="18"/>
        <v>0.03148294544914911</v>
      </c>
      <c r="H54" s="41">
        <f t="shared" si="18"/>
        <v>0.04262960672920832</v>
      </c>
      <c r="I54" s="41">
        <f t="shared" si="18"/>
        <v>0.026342084424733986</v>
      </c>
      <c r="J54" s="41">
        <f t="shared" si="18"/>
        <v>0.040332910808312805</v>
      </c>
      <c r="K54" s="41">
        <f t="shared" si="18"/>
        <v>0.04375366796266709</v>
      </c>
      <c r="L54" s="41">
        <f t="shared" si="18"/>
        <v>0.05496662113406787</v>
      </c>
      <c r="M54" s="41">
        <f t="shared" si="18"/>
        <v>0.057478636918941194</v>
      </c>
      <c r="N54" s="41">
        <f t="shared" si="18"/>
        <v>0.06223152514830814</v>
      </c>
      <c r="O54" s="41">
        <f t="shared" si="18"/>
        <v>0.06744416806661988</v>
      </c>
      <c r="P54" s="41">
        <f t="shared" si="18"/>
        <v>0.07330660223777943</v>
      </c>
      <c r="Q54" s="41">
        <f t="shared" si="18"/>
        <v>0.08933594081549391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6" customHeight="1">
      <c r="A55" s="227" t="s">
        <v>56</v>
      </c>
      <c r="B55" s="230" t="s">
        <v>57</v>
      </c>
      <c r="C55" s="44" t="s">
        <v>23</v>
      </c>
      <c r="D55" s="29">
        <v>0</v>
      </c>
      <c r="E55" s="29">
        <v>0</v>
      </c>
      <c r="F55" s="29">
        <f>IF(F30&gt;0,IF(F23&gt;(F30),(F30),F23),0)</f>
        <v>1205780</v>
      </c>
      <c r="G55" s="29">
        <f>IF(G30&gt;0,IF(G23&gt;(G30),(G30),G23),0)</f>
        <v>350000</v>
      </c>
      <c r="H55" s="29">
        <f aca="true" t="shared" si="19" ref="H55:Q55">IF(H30&gt;0,IF(H23&gt;(H30),(H30),H23),0)</f>
        <v>0</v>
      </c>
      <c r="I55" s="29">
        <f t="shared" si="19"/>
        <v>0</v>
      </c>
      <c r="J55" s="29">
        <f t="shared" si="19"/>
        <v>0</v>
      </c>
      <c r="K55" s="29">
        <f t="shared" si="19"/>
        <v>0</v>
      </c>
      <c r="L55" s="29">
        <f t="shared" si="19"/>
        <v>0</v>
      </c>
      <c r="M55" s="29">
        <f t="shared" si="19"/>
        <v>0</v>
      </c>
      <c r="N55" s="29">
        <f t="shared" si="19"/>
        <v>0</v>
      </c>
      <c r="O55" s="29">
        <f t="shared" si="19"/>
        <v>0</v>
      </c>
      <c r="P55" s="29">
        <f t="shared" si="19"/>
        <v>0</v>
      </c>
      <c r="Q55" s="29">
        <f t="shared" si="19"/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6" customHeight="1">
      <c r="A56" s="227"/>
      <c r="B56" s="231"/>
      <c r="C56" s="44" t="s">
        <v>24</v>
      </c>
      <c r="D56" s="29">
        <v>0</v>
      </c>
      <c r="E56" s="29">
        <v>0</v>
      </c>
      <c r="F56" s="29">
        <f aca="true" t="shared" si="20" ref="F56:P56">IF((F55+F30)&gt;0,IF(F24&gt;(F30-F55),(F30-F55),F24),0)</f>
        <v>0</v>
      </c>
      <c r="G56" s="29">
        <f t="shared" si="20"/>
        <v>0</v>
      </c>
      <c r="H56" s="29">
        <f t="shared" si="20"/>
        <v>0</v>
      </c>
      <c r="I56" s="29">
        <f t="shared" si="20"/>
        <v>0</v>
      </c>
      <c r="J56" s="29">
        <f t="shared" si="20"/>
        <v>0</v>
      </c>
      <c r="K56" s="29">
        <f>IF((K55+K30)&gt;0,IF(K24&gt;(K30-K55),(K30-K55),K24),0)</f>
        <v>0</v>
      </c>
      <c r="L56" s="29">
        <f>IF((L55+L30)&gt;0,IF(L24&gt;(L30-L55),(L30-L55),L24),0)</f>
        <v>0</v>
      </c>
      <c r="M56" s="29">
        <v>0</v>
      </c>
      <c r="N56" s="29">
        <v>0</v>
      </c>
      <c r="O56" s="29">
        <f t="shared" si="20"/>
        <v>0</v>
      </c>
      <c r="P56" s="29">
        <f t="shared" si="20"/>
        <v>0</v>
      </c>
      <c r="Q56" s="29">
        <f>IF((Q55+Q30)&gt;0,IF(Q24&gt;(Q30-Q55),(Q30-Q55),Q24),0)</f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6" customHeight="1">
      <c r="A57" s="227"/>
      <c r="B57" s="231"/>
      <c r="C57" s="44" t="s">
        <v>25</v>
      </c>
      <c r="D57" s="29">
        <v>0</v>
      </c>
      <c r="E57" s="29">
        <f aca="true" t="shared" si="21" ref="E57:P57">IF((E55+E30+E56)&gt;0,IF(E25&gt;(E30-E55-E56),(E30-E55-E56),E25),0)</f>
        <v>0</v>
      </c>
      <c r="F57" s="29">
        <f t="shared" si="21"/>
        <v>0</v>
      </c>
      <c r="G57" s="29">
        <f t="shared" si="21"/>
        <v>0</v>
      </c>
      <c r="H57" s="29">
        <f t="shared" si="21"/>
        <v>0</v>
      </c>
      <c r="I57" s="29">
        <f t="shared" si="21"/>
        <v>0</v>
      </c>
      <c r="J57" s="29">
        <f t="shared" si="21"/>
        <v>0</v>
      </c>
      <c r="K57" s="29">
        <f>IF((K55+K30+K56)&gt;0,IF(K25&gt;(K30-K55-K56),(K30-K55-K56),K25),0)</f>
        <v>0</v>
      </c>
      <c r="L57" s="29">
        <f>IF((L55+L30+L56)&gt;0,IF(L25&gt;(L30-L55-L56),(L30-L55-L56),L25),0)</f>
        <v>0</v>
      </c>
      <c r="M57" s="29">
        <f>IF((M55+M30+M56)&gt;0,IF(M25&gt;(M30-M55-M56),(M30-M55-M56),M25),0)</f>
        <v>0</v>
      </c>
      <c r="N57" s="29">
        <f>IF((N55+N30+N56)&gt;0,IF(N25&gt;(N30-N55-N56),(N30-N55-N56),N25),0)</f>
        <v>0</v>
      </c>
      <c r="O57" s="29">
        <f>IF((O55+O30+O56)&gt;0,IF(O25&gt;(O30-O55-O56),(O30-O55-O56),O25),0)</f>
        <v>0</v>
      </c>
      <c r="P57" s="29">
        <f t="shared" si="21"/>
        <v>0</v>
      </c>
      <c r="Q57" s="29">
        <f>IF((Q55+Q30+Q56)&gt;0,IF(Q25&gt;(Q30-Q55-Q56),(Q30-Q55-Q56),Q25),0)</f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6" customHeight="1">
      <c r="A58" s="227"/>
      <c r="B58" s="231"/>
      <c r="C58" s="44" t="s">
        <v>26</v>
      </c>
      <c r="D58" s="29">
        <f aca="true" t="shared" si="22" ref="D58:P58">IF((D55+D30+D56+D57)&gt;0,IF(D26&gt;(D30-D55-D56-D57),(D30-D55-D56-D57),D26),0)</f>
        <v>0</v>
      </c>
      <c r="E58" s="29">
        <f t="shared" si="22"/>
        <v>0</v>
      </c>
      <c r="F58" s="29">
        <f t="shared" si="22"/>
        <v>0</v>
      </c>
      <c r="G58" s="29">
        <f t="shared" si="22"/>
        <v>0</v>
      </c>
      <c r="H58" s="29">
        <f t="shared" si="22"/>
        <v>0</v>
      </c>
      <c r="I58" s="29">
        <f t="shared" si="22"/>
        <v>0</v>
      </c>
      <c r="J58" s="29">
        <f t="shared" si="22"/>
        <v>0</v>
      </c>
      <c r="K58" s="29">
        <f>IF((K55+K30+K56+K57)&gt;0,IF(K26&gt;(K30-K55-K56-K57),(K30-K55-K56-K57),K26),0)</f>
        <v>0</v>
      </c>
      <c r="L58" s="29">
        <f>IF((L55+L30+L56+L57)&gt;0,IF(L26&gt;(L30-L55-L56-L57),(L30-L55-L56-L57),L26),0)</f>
        <v>0</v>
      </c>
      <c r="M58" s="29">
        <f>IF((M55+M30+M56+M57)&gt;0,IF(M26&gt;(M30-M55-M56-M57),(M30-M55-M56-M57),M26),0)</f>
        <v>0</v>
      </c>
      <c r="N58" s="29">
        <f>IF((N55+N30+N56+N57)&gt;0,IF(N26&gt;(N30-N55-N56-N57),(N30-N55-N56-N57),N26),0)</f>
        <v>0</v>
      </c>
      <c r="O58" s="29">
        <f t="shared" si="22"/>
        <v>0</v>
      </c>
      <c r="P58" s="29">
        <f t="shared" si="22"/>
        <v>0</v>
      </c>
      <c r="Q58" s="29">
        <f>IF((Q55+Q30+Q56+Q57)&gt;0,IF(Q26&gt;(Q30-Q55-Q56-Q57),(Q30-Q55-Q56-Q57),Q26),0)</f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227"/>
      <c r="B59" s="231"/>
      <c r="C59" s="44" t="s">
        <v>28</v>
      </c>
      <c r="D59" s="29">
        <f aca="true" t="shared" si="23" ref="D59:P59">IF((D55+D30+D56+D57+D58)&gt;0,IF(D27&gt;(D30-D55-D56-D57-D58),(D30-D55-D56-D57-D58),D27),0)</f>
        <v>0</v>
      </c>
      <c r="E59" s="29">
        <f t="shared" si="23"/>
        <v>0</v>
      </c>
      <c r="F59" s="29">
        <f t="shared" si="23"/>
        <v>0</v>
      </c>
      <c r="G59" s="29">
        <f t="shared" si="23"/>
        <v>0</v>
      </c>
      <c r="H59" s="29">
        <f t="shared" si="23"/>
        <v>0</v>
      </c>
      <c r="I59" s="29">
        <f t="shared" si="23"/>
        <v>0</v>
      </c>
      <c r="J59" s="29">
        <f t="shared" si="23"/>
        <v>0</v>
      </c>
      <c r="K59" s="29">
        <f>IF((K55+K30+K56+K57+K58)&gt;0,IF(K27&gt;(K30-K55-K56-K57-K58),(K30-K55-K56-K57-K58),K27),0)</f>
        <v>0</v>
      </c>
      <c r="L59" s="29">
        <f>IF((L55+L30+L56+L57+L58)&gt;0,IF(L27&gt;(L30-L55-L56-L57-L58),(L30-L55-L56-L57-L58),L27),0)</f>
        <v>0</v>
      </c>
      <c r="M59" s="29">
        <f>IF((M55+M30+M56+M57+M58)&gt;0,IF(M27&gt;(M30-M55-M56-M57-M58),(M30-M55-M56-M57-M58),M27),0)</f>
        <v>0</v>
      </c>
      <c r="N59" s="29">
        <f>IF((N55+N30+N56+N57+N58)&gt;0,IF(N27&gt;(N30-N55-N56-N57-N58),(N30-N55-N56-N57-N58),N27),0)</f>
        <v>0</v>
      </c>
      <c r="O59" s="29">
        <f t="shared" si="23"/>
        <v>0</v>
      </c>
      <c r="P59" s="29">
        <f t="shared" si="23"/>
        <v>0</v>
      </c>
      <c r="Q59" s="29">
        <f>IF((Q55+Q30+Q56+Q57+Q58)&gt;0,IF(Q27&gt;(Q30-Q55-Q56-Q57-Q58),(Q30-Q55-Q56-Q57-Q58),Q27),0)</f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 thickBot="1">
      <c r="A60" s="228"/>
      <c r="B60" s="231"/>
      <c r="C60" s="45" t="s">
        <v>30</v>
      </c>
      <c r="D60" s="29">
        <f aca="true" t="shared" si="24" ref="D60:P60">IF((D55+D30+D56+D57+D58+D59)&gt;0,IF(D28&gt;(D30-D55-D56-D57-D58-D59),(D30-D55-D56-D57-D58-D59),D28),0)</f>
        <v>0</v>
      </c>
      <c r="E60" s="29">
        <f t="shared" si="24"/>
        <v>0</v>
      </c>
      <c r="F60" s="29">
        <f t="shared" si="24"/>
        <v>0</v>
      </c>
      <c r="G60" s="29">
        <f t="shared" si="24"/>
        <v>0</v>
      </c>
      <c r="H60" s="29">
        <f t="shared" si="24"/>
        <v>0</v>
      </c>
      <c r="I60" s="29">
        <f t="shared" si="24"/>
        <v>0</v>
      </c>
      <c r="J60" s="29">
        <f t="shared" si="24"/>
        <v>0</v>
      </c>
      <c r="K60" s="29">
        <f>IF((K55+K30+K56+K57+K58+K59)&gt;0,IF(K28&gt;(K30-K55-K56-K57-K58-K59),(K30-K55-K56-K57-K58-K59),K28),0)</f>
        <v>0</v>
      </c>
      <c r="L60" s="29">
        <f>IF((L55+L30+L56+L57+L58+L59)&gt;0,IF(L28&gt;(L30-L55-L56-L57-L58-L59),(L30-L55-L56-L57-L58-L59),L28),0)</f>
        <v>0</v>
      </c>
      <c r="M60" s="29">
        <f>IF((M55+M30+M56+M57+M58+M59)&gt;0,IF(M28&gt;(M30-M55-M56-M57-M58-M59),(M30-M55-M56-M57-M58-M59),M28),0)</f>
        <v>0</v>
      </c>
      <c r="N60" s="29">
        <f>IF((N55+N30+N56+N57+N58+N59)&gt;0,IF(N28&gt;(N30-N55-N56-N57-N58-N59),(N30-N55-N56-N57-N58-N59),N28),0)</f>
        <v>0</v>
      </c>
      <c r="O60" s="29">
        <f t="shared" si="24"/>
        <v>0</v>
      </c>
      <c r="P60" s="29">
        <f t="shared" si="24"/>
        <v>0</v>
      </c>
      <c r="Q60" s="29">
        <f>IF((Q55+Q30+Q56+Q57+Q58+Q59)&gt;0,IF(Q28&gt;(Q30-Q55-Q56-Q57-Q58-Q59),(Q30-Q55-Q56-Q57-Q58-Q59),Q28),0)</f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 thickBot="1">
      <c r="A61" s="229"/>
      <c r="B61" s="232"/>
      <c r="C61" s="46" t="s">
        <v>58</v>
      </c>
      <c r="D61" s="29">
        <f aca="true" t="shared" si="25" ref="D61:P61">IF((D55+D56+D30+D57+D58+D59+D60)&gt;0,IF(D43&gt;(D30-D55-D56-D57-D58-D59-D60),(D30-D56-D55-D57-D58-D59-D60),D43),0)</f>
        <v>0</v>
      </c>
      <c r="E61" s="29">
        <f t="shared" si="25"/>
        <v>0</v>
      </c>
      <c r="F61" s="29">
        <f t="shared" si="25"/>
        <v>0</v>
      </c>
      <c r="G61" s="29">
        <f t="shared" si="25"/>
        <v>454780</v>
      </c>
      <c r="H61" s="29">
        <f t="shared" si="25"/>
        <v>877005</v>
      </c>
      <c r="I61" s="29">
        <f t="shared" si="25"/>
        <v>836430</v>
      </c>
      <c r="J61" s="29">
        <f t="shared" si="25"/>
        <v>832830</v>
      </c>
      <c r="K61" s="29">
        <f>IF((K55+K56+K30+K57+K58+K59+K60)&gt;0,IF(K43&gt;(K30-K55-K56-K57-K58-K59-K60),(K30-K56-K55-K57-K58-K59-K60),K43),0)</f>
        <v>601605</v>
      </c>
      <c r="L61" s="29">
        <f>IF((L55+L56+L30+L57+L58+L59+L60)&gt;0,IF(L43&gt;(L30-L55-L56-L57-L58-L59-L60),(L30-L56-L55-L57-L58-L59-L60),L43),0)</f>
        <v>595648</v>
      </c>
      <c r="M61" s="29">
        <f t="shared" si="25"/>
        <v>600025</v>
      </c>
      <c r="N61" s="29">
        <f t="shared" si="25"/>
        <v>548573</v>
      </c>
      <c r="O61" s="29">
        <f t="shared" si="25"/>
        <v>511925</v>
      </c>
      <c r="P61" s="29">
        <f t="shared" si="25"/>
        <v>441125</v>
      </c>
      <c r="Q61" s="29">
        <f>IF((Q55+Q56+Q30+Q57+Q58+Q59+Q60)&gt;0,IF(Q43&gt;(Q30-Q55-Q56-Q57-Q58-Q59-Q60),(Q30-Q56-Q55-Q57-Q58-Q59-Q60),Q43),0)</f>
        <v>172125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2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2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thickBo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2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thickBot="1">
      <c r="A65" s="249" t="s">
        <v>59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48"/>
      <c r="R65" s="3"/>
      <c r="S65" s="3"/>
      <c r="T65" s="3"/>
      <c r="U65" s="3"/>
      <c r="V65" s="3"/>
      <c r="W65" s="3"/>
      <c r="X65" s="3"/>
      <c r="Y65" s="3"/>
      <c r="Z65" s="3"/>
    </row>
    <row r="66" spans="1:26" ht="27" customHeight="1">
      <c r="A66" s="49" t="s">
        <v>60</v>
      </c>
      <c r="B66" s="217" t="s">
        <v>61</v>
      </c>
      <c r="C66" s="217"/>
      <c r="D66" s="50">
        <f aca="true" t="shared" si="26" ref="D66:P66">(D7+D9-D11)/D6</f>
        <v>0.09307633665244397</v>
      </c>
      <c r="E66" s="50">
        <f t="shared" si="26"/>
        <v>0.1029662045050037</v>
      </c>
      <c r="F66" s="50">
        <f t="shared" si="26"/>
        <v>0.06363635949024629</v>
      </c>
      <c r="G66" s="50">
        <f t="shared" si="26"/>
        <v>0.15080535621637062</v>
      </c>
      <c r="H66" s="50">
        <f t="shared" si="26"/>
        <v>0.07070106349109262</v>
      </c>
      <c r="I66" s="50">
        <f t="shared" si="26"/>
        <v>0.09894853124391913</v>
      </c>
      <c r="J66" s="50">
        <f t="shared" si="26"/>
        <v>0.10945768978089962</v>
      </c>
      <c r="K66" s="50">
        <f>(K7+K9-K11)/K6</f>
        <v>0.10026821613978822</v>
      </c>
      <c r="L66" s="50">
        <f>(L7+L9-L11)/L6</f>
        <v>0.10113283262979003</v>
      </c>
      <c r="M66" s="50">
        <f>(M7+M9-M11)/M6</f>
        <v>0.10765981494264795</v>
      </c>
      <c r="N66" s="50">
        <f>(N7+N9-N11)/N6</f>
        <v>0.10504132260139422</v>
      </c>
      <c r="O66" s="50">
        <f t="shared" si="26"/>
        <v>0.10163571832724654</v>
      </c>
      <c r="P66" s="50">
        <f t="shared" si="26"/>
        <v>0.09699353319569334</v>
      </c>
      <c r="Q66" s="50">
        <f>(Q7+Q9-Q11)/Q6</f>
        <v>0.07161912751677853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27" customHeight="1">
      <c r="A67" s="51" t="s">
        <v>62</v>
      </c>
      <c r="B67" s="244" t="s">
        <v>63</v>
      </c>
      <c r="C67" s="244"/>
      <c r="D67" s="52">
        <f aca="true" t="shared" si="27" ref="D67:M67">D6+D21-D10-D29</f>
        <v>16666.98999999999</v>
      </c>
      <c r="E67" s="52">
        <f t="shared" si="27"/>
        <v>0</v>
      </c>
      <c r="F67" s="52">
        <f t="shared" si="27"/>
        <v>0</v>
      </c>
      <c r="G67" s="52">
        <f t="shared" si="27"/>
        <v>0</v>
      </c>
      <c r="H67" s="52">
        <f t="shared" si="27"/>
        <v>0</v>
      </c>
      <c r="I67" s="52">
        <f t="shared" si="27"/>
        <v>0</v>
      </c>
      <c r="J67" s="52">
        <f t="shared" si="27"/>
        <v>0</v>
      </c>
      <c r="K67" s="52">
        <f t="shared" si="27"/>
        <v>0</v>
      </c>
      <c r="L67" s="52">
        <f t="shared" si="27"/>
        <v>0</v>
      </c>
      <c r="M67" s="52">
        <f t="shared" si="27"/>
        <v>0</v>
      </c>
      <c r="N67" s="52">
        <f>N6+N21-N10-N29</f>
        <v>0</v>
      </c>
      <c r="O67" s="52">
        <f>O6+O21-O10-O29</f>
        <v>0</v>
      </c>
      <c r="P67" s="52">
        <f>P6+P21-P10-P29</f>
        <v>0</v>
      </c>
      <c r="Q67" s="52">
        <f>Q6+Q21-Q10-Q29</f>
        <v>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51" t="s">
        <v>64</v>
      </c>
      <c r="B68" s="245" t="s">
        <v>65</v>
      </c>
      <c r="C68" s="245"/>
      <c r="D68" s="53">
        <f aca="true" t="shared" si="28" ref="D68:P68">D7+D27+D28-D11</f>
        <v>758522</v>
      </c>
      <c r="E68" s="53">
        <f t="shared" si="28"/>
        <v>1096064</v>
      </c>
      <c r="F68" s="53">
        <f t="shared" si="28"/>
        <v>855780</v>
      </c>
      <c r="G68" s="53">
        <f t="shared" si="28"/>
        <v>2186900</v>
      </c>
      <c r="H68" s="53">
        <f t="shared" si="28"/>
        <v>727005</v>
      </c>
      <c r="I68" s="53">
        <f t="shared" si="28"/>
        <v>941430</v>
      </c>
      <c r="J68" s="53">
        <f t="shared" si="28"/>
        <v>1102830</v>
      </c>
      <c r="K68" s="53">
        <f>K7+K27+K28-K11</f>
        <v>976605</v>
      </c>
      <c r="L68" s="53">
        <f>L7+L27+L28-L11</f>
        <v>983573</v>
      </c>
      <c r="M68" s="53">
        <f>M7+M27+M28-M11</f>
        <v>1105025</v>
      </c>
      <c r="N68" s="53">
        <f>N7+N27+N28-N11</f>
        <v>1210573</v>
      </c>
      <c r="O68" s="53">
        <f t="shared" si="28"/>
        <v>1181925</v>
      </c>
      <c r="P68" s="53">
        <f t="shared" si="28"/>
        <v>1121125</v>
      </c>
      <c r="Q68" s="53">
        <f>Q7+Q27+Q28-Q11</f>
        <v>767125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27" customHeight="1">
      <c r="A69" s="51" t="s">
        <v>66</v>
      </c>
      <c r="B69" s="243" t="s">
        <v>67</v>
      </c>
      <c r="C69" s="243"/>
      <c r="D69" s="54"/>
      <c r="E69" s="54"/>
      <c r="F69" s="54"/>
      <c r="G69" s="54"/>
      <c r="H69" s="55" t="s">
        <v>19</v>
      </c>
      <c r="I69" s="55" t="s">
        <v>19</v>
      </c>
      <c r="J69" s="55" t="s">
        <v>19</v>
      </c>
      <c r="K69" s="55" t="s">
        <v>19</v>
      </c>
      <c r="L69" s="55" t="s">
        <v>19</v>
      </c>
      <c r="M69" s="55" t="s">
        <v>19</v>
      </c>
      <c r="N69" s="55" t="s">
        <v>19</v>
      </c>
      <c r="O69" s="55" t="s">
        <v>19</v>
      </c>
      <c r="P69" s="55" t="s">
        <v>19</v>
      </c>
      <c r="Q69" s="55" t="s">
        <v>19</v>
      </c>
      <c r="R69" s="3"/>
      <c r="S69" s="3"/>
      <c r="T69" s="3"/>
      <c r="U69" s="3"/>
      <c r="V69" s="3"/>
      <c r="W69" s="3"/>
      <c r="X69" s="3"/>
      <c r="Y69" s="3"/>
      <c r="Z69" s="3"/>
    </row>
    <row r="70" spans="1:26" ht="27" customHeight="1">
      <c r="A70" s="51" t="s">
        <v>68</v>
      </c>
      <c r="B70" s="243" t="s">
        <v>69</v>
      </c>
      <c r="C70" s="243"/>
      <c r="D70" s="54"/>
      <c r="E70" s="54"/>
      <c r="F70" s="54"/>
      <c r="G70" s="54"/>
      <c r="H70" s="54"/>
      <c r="I70" s="54"/>
      <c r="J70" s="56"/>
      <c r="K70" s="56"/>
      <c r="L70" s="56"/>
      <c r="M70" s="56"/>
      <c r="N70" s="56"/>
      <c r="O70" s="56"/>
      <c r="P70" s="56"/>
      <c r="Q70" s="56"/>
      <c r="R70" s="3"/>
      <c r="S70" s="3"/>
      <c r="T70" s="3"/>
      <c r="U70" s="3"/>
      <c r="V70" s="3"/>
      <c r="W70" s="3"/>
      <c r="X70" s="3"/>
      <c r="Y70" s="3"/>
      <c r="Z70" s="3"/>
    </row>
    <row r="71" spans="1:26" ht="27" customHeight="1">
      <c r="A71" s="51" t="s">
        <v>70</v>
      </c>
      <c r="B71" s="253" t="s">
        <v>71</v>
      </c>
      <c r="C71" s="254"/>
      <c r="D71" s="54"/>
      <c r="E71" s="54"/>
      <c r="F71" s="54"/>
      <c r="G71" s="54"/>
      <c r="H71" s="54"/>
      <c r="I71" s="54"/>
      <c r="J71" s="56"/>
      <c r="K71" s="56"/>
      <c r="L71" s="56"/>
      <c r="M71" s="56"/>
      <c r="N71" s="56"/>
      <c r="O71" s="56"/>
      <c r="P71" s="56"/>
      <c r="Q71" s="56"/>
      <c r="R71" s="3"/>
      <c r="S71" s="3"/>
      <c r="T71" s="3"/>
      <c r="U71" s="3"/>
      <c r="V71" s="3"/>
      <c r="W71" s="3"/>
      <c r="X71" s="3"/>
      <c r="Y71" s="3"/>
      <c r="Z71" s="3"/>
    </row>
    <row r="72" spans="1:26" ht="27" customHeight="1">
      <c r="A72" s="51" t="s">
        <v>72</v>
      </c>
      <c r="B72" s="253" t="s">
        <v>73</v>
      </c>
      <c r="C72" s="254"/>
      <c r="D72" s="54"/>
      <c r="E72" s="54"/>
      <c r="F72" s="54"/>
      <c r="G72" s="54"/>
      <c r="H72" s="54"/>
      <c r="I72" s="54"/>
      <c r="J72" s="56"/>
      <c r="K72" s="56"/>
      <c r="L72" s="56"/>
      <c r="M72" s="56"/>
      <c r="N72" s="56"/>
      <c r="O72" s="56"/>
      <c r="P72" s="56"/>
      <c r="Q72" s="56"/>
      <c r="R72" s="3"/>
      <c r="S72" s="3"/>
      <c r="T72" s="3"/>
      <c r="U72" s="3"/>
      <c r="V72" s="3"/>
      <c r="W72" s="3"/>
      <c r="X72" s="3"/>
      <c r="Y72" s="3"/>
      <c r="Z72" s="3"/>
    </row>
    <row r="73" spans="1:26" ht="27" customHeight="1">
      <c r="A73" s="51" t="s">
        <v>74</v>
      </c>
      <c r="B73" s="243" t="s">
        <v>75</v>
      </c>
      <c r="C73" s="243"/>
      <c r="D73" s="57">
        <f>((D12-D69)+(D30-D70)+D13+D18-D71)/D6</f>
        <v>0.06824426735772425</v>
      </c>
      <c r="E73" s="57">
        <f>((E12-E69)+(E30-E70)+E13+E18-E71)/E6</f>
        <v>0.05422701576487436</v>
      </c>
      <c r="F73" s="57">
        <f>((F12-F69)+(F30-F70)+F13+F18-F71)/F6</f>
        <v>0.06918017905118289</v>
      </c>
      <c r="G73" s="57">
        <f>((G12-G69)+(G30-G70)+G13+G18-G71)/G6</f>
        <v>0.0550766881000822</v>
      </c>
      <c r="H73" s="57" t="s">
        <v>19</v>
      </c>
      <c r="I73" s="57" t="s">
        <v>19</v>
      </c>
      <c r="J73" s="57" t="s">
        <v>19</v>
      </c>
      <c r="K73" s="57" t="s">
        <v>19</v>
      </c>
      <c r="L73" s="57" t="s">
        <v>19</v>
      </c>
      <c r="M73" s="57" t="s">
        <v>19</v>
      </c>
      <c r="N73" s="57" t="s">
        <v>19</v>
      </c>
      <c r="O73" s="57" t="s">
        <v>19</v>
      </c>
      <c r="P73" s="57" t="s">
        <v>19</v>
      </c>
      <c r="Q73" s="57" t="s">
        <v>19</v>
      </c>
      <c r="R73" s="3"/>
      <c r="S73" s="3"/>
      <c r="T73" s="3"/>
      <c r="U73" s="3"/>
      <c r="V73" s="3"/>
      <c r="W73" s="3"/>
      <c r="X73" s="3"/>
      <c r="Y73" s="3"/>
      <c r="Z73" s="3"/>
    </row>
    <row r="74" spans="1:26" ht="27" customHeight="1">
      <c r="A74" s="51" t="s">
        <v>76</v>
      </c>
      <c r="B74" s="243" t="s">
        <v>77</v>
      </c>
      <c r="C74" s="243"/>
      <c r="D74" s="57">
        <f>(D47-D72)/D6</f>
        <v>0.24024965596152456</v>
      </c>
      <c r="E74" s="57">
        <f>(E47-E72)/E6</f>
        <v>0.33635897327714803</v>
      </c>
      <c r="F74" s="57">
        <f>(F47-F72)/F6</f>
        <v>0.32797069295768194</v>
      </c>
      <c r="G74" s="57">
        <f>(G47-G72)/G6</f>
        <v>0.3507826791575094</v>
      </c>
      <c r="H74" s="57" t="s">
        <v>19</v>
      </c>
      <c r="I74" s="57" t="s">
        <v>19</v>
      </c>
      <c r="J74" s="57" t="s">
        <v>19</v>
      </c>
      <c r="K74" s="57" t="s">
        <v>19</v>
      </c>
      <c r="L74" s="57" t="s">
        <v>19</v>
      </c>
      <c r="M74" s="57" t="s">
        <v>19</v>
      </c>
      <c r="N74" s="57" t="s">
        <v>19</v>
      </c>
      <c r="O74" s="57" t="s">
        <v>19</v>
      </c>
      <c r="P74" s="57" t="s">
        <v>19</v>
      </c>
      <c r="Q74" s="57" t="s">
        <v>19</v>
      </c>
      <c r="R74" s="3"/>
      <c r="S74" s="3"/>
      <c r="T74" s="3"/>
      <c r="U74" s="3"/>
      <c r="V74" s="3"/>
      <c r="W74" s="3"/>
      <c r="X74" s="3"/>
      <c r="Y74" s="3"/>
      <c r="Z74" s="3"/>
    </row>
    <row r="75" spans="1:26" ht="27" customHeight="1">
      <c r="A75" s="51" t="s">
        <v>78</v>
      </c>
      <c r="B75" s="243" t="s">
        <v>79</v>
      </c>
      <c r="C75" s="243"/>
      <c r="D75" s="58">
        <f aca="true" t="shared" si="29" ref="D75:P75">(D30-D70+D12+D13+D18-D71)/D6</f>
        <v>0.06824426735772425</v>
      </c>
      <c r="E75" s="58">
        <f t="shared" si="29"/>
        <v>0.05422701576487436</v>
      </c>
      <c r="F75" s="58">
        <f t="shared" si="29"/>
        <v>0.06918017905118289</v>
      </c>
      <c r="G75" s="58">
        <f t="shared" si="29"/>
        <v>0.0550766881000822</v>
      </c>
      <c r="H75" s="58">
        <f t="shared" si="29"/>
        <v>0.06317303334133187</v>
      </c>
      <c r="I75" s="58">
        <f t="shared" si="29"/>
        <v>0.06870550864116919</v>
      </c>
      <c r="J75" s="58">
        <f t="shared" si="29"/>
        <v>0.06648540617548132</v>
      </c>
      <c r="K75" s="58">
        <f>(K30-K70+K12+K13+K18-K71)/K6</f>
        <v>0.049282093542636705</v>
      </c>
      <c r="L75" s="58">
        <f>(L30-L70+L12+L13+L18-L71)/L6</f>
        <v>0.047924857920801124</v>
      </c>
      <c r="M75" s="58">
        <f>(M30-M70+M12+M13+M18-M71)/M6</f>
        <v>0.04614094259788475</v>
      </c>
      <c r="N75" s="58">
        <f>(N30-N70+N12+N13+N18-N71)/N6</f>
        <v>0.04078876275576726</v>
      </c>
      <c r="O75" s="58">
        <f t="shared" si="29"/>
        <v>0.03716715532465751</v>
      </c>
      <c r="P75" s="58">
        <f t="shared" si="29"/>
        <v>0.031472349719316804</v>
      </c>
      <c r="Q75" s="58">
        <f>(Q30-Q70+Q12+Q13+Q18-Q71)/Q6</f>
        <v>0.011887583892617449</v>
      </c>
      <c r="R75" s="3"/>
      <c r="S75" s="3"/>
      <c r="T75" s="3"/>
      <c r="U75" s="3"/>
      <c r="V75" s="3"/>
      <c r="W75" s="3"/>
      <c r="X75" s="3"/>
      <c r="Y75" s="3"/>
      <c r="Z75" s="3"/>
    </row>
    <row r="76" spans="1:26" ht="51" customHeight="1">
      <c r="A76" s="51" t="s">
        <v>80</v>
      </c>
      <c r="B76" s="245" t="s">
        <v>81</v>
      </c>
      <c r="C76" s="245"/>
      <c r="D76" s="59" t="s">
        <v>82</v>
      </c>
      <c r="E76" s="59">
        <f aca="true" t="shared" si="30" ref="E76:P76">E53-E75</f>
        <v>0.021583001216308795</v>
      </c>
      <c r="F76" s="59">
        <f t="shared" si="30"/>
        <v>0.017368871255844492</v>
      </c>
      <c r="G76" s="59">
        <f t="shared" si="30"/>
        <v>0.03148294544914911</v>
      </c>
      <c r="H76" s="59">
        <f t="shared" si="30"/>
        <v>0.04262960672920832</v>
      </c>
      <c r="I76" s="59">
        <f t="shared" si="30"/>
        <v>0.026342084424733986</v>
      </c>
      <c r="J76" s="59">
        <f t="shared" si="30"/>
        <v>0.040332910808312805</v>
      </c>
      <c r="K76" s="59">
        <f>K53-K75</f>
        <v>0.04375366796266709</v>
      </c>
      <c r="L76" s="59">
        <f>L53-L75</f>
        <v>0.05496662113406787</v>
      </c>
      <c r="M76" s="59">
        <f>M53-M75</f>
        <v>0.057478636918941194</v>
      </c>
      <c r="N76" s="59">
        <f>N53-N75</f>
        <v>0.06223152514830814</v>
      </c>
      <c r="O76" s="59">
        <f t="shared" si="30"/>
        <v>0.06744416806661988</v>
      </c>
      <c r="P76" s="59">
        <f t="shared" si="30"/>
        <v>0.07330660223777943</v>
      </c>
      <c r="Q76" s="59">
        <f>Q53-Q75</f>
        <v>0.08933594081549391</v>
      </c>
      <c r="R76" s="3"/>
      <c r="S76" s="3"/>
      <c r="T76" s="3"/>
      <c r="U76" s="3"/>
      <c r="V76" s="3"/>
      <c r="W76" s="3"/>
      <c r="X76" s="3"/>
      <c r="Y76" s="3"/>
      <c r="Z76" s="3"/>
    </row>
    <row r="77" spans="1:26" ht="54" customHeight="1" thickBot="1">
      <c r="A77" s="51" t="s">
        <v>83</v>
      </c>
      <c r="B77" s="251" t="s">
        <v>84</v>
      </c>
      <c r="C77" s="252"/>
      <c r="D77" s="60" t="s">
        <v>19</v>
      </c>
      <c r="E77" s="60" t="s">
        <v>19</v>
      </c>
      <c r="F77" s="60" t="s">
        <v>19</v>
      </c>
      <c r="G77" s="60" t="s">
        <v>19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1"/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1"/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1"/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1"/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2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62"/>
      <c r="B82" s="63"/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6"/>
      <c r="R82" s="3"/>
      <c r="S82" s="3"/>
      <c r="T82" s="3"/>
      <c r="U82" s="3"/>
      <c r="V82" s="3"/>
      <c r="W82" s="3"/>
      <c r="X82" s="3"/>
      <c r="Y82" s="3"/>
      <c r="Z82" s="3"/>
    </row>
    <row r="83" spans="17:26" ht="15"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7:26" ht="15"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7:26" ht="15"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7:26" ht="15"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7:26" ht="15"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7:26" ht="15"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7:26" ht="15"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7:26" ht="15"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7:26" ht="15"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7:26" ht="15"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7:26" ht="15"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7:26" ht="15"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7:26" ht="15"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7:26" ht="15"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7:26" ht="15"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7:26" ht="15"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7:26" ht="15">
      <c r="Q99" s="3"/>
      <c r="R99" s="3"/>
      <c r="S99" s="3"/>
      <c r="T99" s="3"/>
      <c r="U99" s="3"/>
      <c r="V99" s="3"/>
      <c r="W99" s="3"/>
      <c r="X99" s="3"/>
      <c r="Y99" s="3"/>
      <c r="Z99" s="3"/>
    </row>
  </sheetData>
  <sheetProtection/>
  <mergeCells count="48">
    <mergeCell ref="B77:C77"/>
    <mergeCell ref="B71:C71"/>
    <mergeCell ref="B72:C72"/>
    <mergeCell ref="B73:C73"/>
    <mergeCell ref="B74:C74"/>
    <mergeCell ref="B75:C75"/>
    <mergeCell ref="B76:C76"/>
    <mergeCell ref="B70:C70"/>
    <mergeCell ref="B50:C50"/>
    <mergeCell ref="B67:C67"/>
    <mergeCell ref="B68:C68"/>
    <mergeCell ref="B69:C69"/>
    <mergeCell ref="B51:C51"/>
    <mergeCell ref="B52:C52"/>
    <mergeCell ref="B53:C53"/>
    <mergeCell ref="B54:C54"/>
    <mergeCell ref="A65:P65"/>
    <mergeCell ref="B1:Q1"/>
    <mergeCell ref="B5:C5"/>
    <mergeCell ref="B6:C6"/>
    <mergeCell ref="B10:C10"/>
    <mergeCell ref="B12:B18"/>
    <mergeCell ref="P16:P18"/>
    <mergeCell ref="B35:C35"/>
    <mergeCell ref="B23:B25"/>
    <mergeCell ref="B31:B33"/>
    <mergeCell ref="A55:A61"/>
    <mergeCell ref="B55:B61"/>
    <mergeCell ref="B43:C43"/>
    <mergeCell ref="B47:C47"/>
    <mergeCell ref="B21:C21"/>
    <mergeCell ref="I16:I18"/>
    <mergeCell ref="J16:J18"/>
    <mergeCell ref="E16:E18"/>
    <mergeCell ref="B66:C66"/>
    <mergeCell ref="F16:F18"/>
    <mergeCell ref="B36:C36"/>
    <mergeCell ref="B29:C29"/>
    <mergeCell ref="C16:C18"/>
    <mergeCell ref="D16:D18"/>
    <mergeCell ref="Q16:Q18"/>
    <mergeCell ref="L16:L18"/>
    <mergeCell ref="M16:M18"/>
    <mergeCell ref="N16:N18"/>
    <mergeCell ref="O16:O18"/>
    <mergeCell ref="G16:G18"/>
    <mergeCell ref="H16:H18"/>
    <mergeCell ref="K16:K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7"/>
  <sheetViews>
    <sheetView zoomScale="75" zoomScaleNormal="75" zoomScalePageLayoutView="0" workbookViewId="0" topLeftCell="A55">
      <selection activeCell="L70" sqref="L70:M70"/>
    </sheetView>
  </sheetViews>
  <sheetFormatPr defaultColWidth="9.140625" defaultRowHeight="15"/>
  <cols>
    <col min="1" max="1" width="7.57421875" style="0" customWidth="1"/>
    <col min="2" max="2" width="54.00390625" style="0" customWidth="1"/>
    <col min="3" max="3" width="21.28125" style="0" customWidth="1"/>
    <col min="4" max="4" width="15.28125" style="0" customWidth="1"/>
    <col min="5" max="5" width="21.7109375" style="0" customWidth="1"/>
    <col min="6" max="6" width="17.00390625" style="0" customWidth="1"/>
    <col min="7" max="9" width="13.421875" style="71" customWidth="1"/>
    <col min="10" max="10" width="13.140625" style="71" customWidth="1"/>
    <col min="11" max="11" width="12.57421875" style="71" customWidth="1"/>
    <col min="12" max="12" width="11.8515625" style="71" customWidth="1"/>
    <col min="13" max="13" width="2.57421875" style="71" customWidth="1"/>
    <col min="14" max="14" width="0.2890625" style="0" hidden="1" customWidth="1"/>
    <col min="15" max="16" width="9.140625" style="0" hidden="1" customWidth="1"/>
  </cols>
  <sheetData>
    <row r="1" ht="15">
      <c r="B1" s="70" t="s">
        <v>85</v>
      </c>
    </row>
    <row r="2" spans="1:16" ht="15">
      <c r="A2" s="73"/>
      <c r="B2" s="328" t="s">
        <v>145</v>
      </c>
      <c r="C2" s="328"/>
      <c r="D2" s="328"/>
      <c r="E2" s="328"/>
      <c r="F2" s="328"/>
      <c r="G2" s="328"/>
      <c r="H2" s="328"/>
      <c r="I2" s="328"/>
      <c r="J2" s="328"/>
      <c r="K2" s="328"/>
      <c r="L2" s="73"/>
      <c r="M2" s="73"/>
      <c r="N2" s="73"/>
      <c r="O2" s="73"/>
      <c r="P2" s="73"/>
    </row>
    <row r="3" spans="1:16" ht="15.75" thickBot="1">
      <c r="A3" s="73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73"/>
      <c r="M3" s="73"/>
      <c r="N3" s="73"/>
      <c r="O3" s="73"/>
      <c r="P3" s="73"/>
    </row>
    <row r="4" spans="1:17" ht="81" customHeight="1">
      <c r="A4" s="330" t="s">
        <v>86</v>
      </c>
      <c r="B4" s="332" t="s">
        <v>87</v>
      </c>
      <c r="C4" s="334" t="s">
        <v>88</v>
      </c>
      <c r="D4" s="334" t="s">
        <v>89</v>
      </c>
      <c r="E4" s="334" t="s">
        <v>90</v>
      </c>
      <c r="F4" s="74" t="s">
        <v>91</v>
      </c>
      <c r="G4" s="335" t="s">
        <v>92</v>
      </c>
      <c r="H4" s="336"/>
      <c r="I4" s="336"/>
      <c r="J4" s="336"/>
      <c r="K4" s="336"/>
      <c r="L4" s="308" t="s">
        <v>93</v>
      </c>
      <c r="M4" s="309"/>
      <c r="N4" s="309"/>
      <c r="O4" s="309"/>
      <c r="P4" s="309"/>
      <c r="Q4" s="75"/>
    </row>
    <row r="5" spans="1:16" ht="15.75" thickBot="1">
      <c r="A5" s="331"/>
      <c r="B5" s="333"/>
      <c r="C5" s="333"/>
      <c r="D5" s="333"/>
      <c r="E5" s="333"/>
      <c r="F5" s="76"/>
      <c r="G5" s="77">
        <v>2011</v>
      </c>
      <c r="H5" s="195">
        <v>2012</v>
      </c>
      <c r="I5" s="77">
        <v>2013</v>
      </c>
      <c r="J5" s="78">
        <v>2014</v>
      </c>
      <c r="K5" s="78">
        <v>2015</v>
      </c>
      <c r="L5" s="310" t="s">
        <v>94</v>
      </c>
      <c r="M5" s="311"/>
      <c r="N5" s="79"/>
      <c r="O5" s="79"/>
      <c r="P5" s="80"/>
    </row>
    <row r="6" spans="1:16" s="71" customFormat="1" ht="39.75" customHeight="1" thickBot="1">
      <c r="A6" s="81" t="s">
        <v>4</v>
      </c>
      <c r="B6" s="82" t="s">
        <v>95</v>
      </c>
      <c r="C6" s="83" t="s">
        <v>96</v>
      </c>
      <c r="D6" s="84" t="s">
        <v>97</v>
      </c>
      <c r="E6" s="85">
        <v>409636</v>
      </c>
      <c r="F6" s="85">
        <v>94636</v>
      </c>
      <c r="G6" s="85">
        <v>63000</v>
      </c>
      <c r="H6" s="159">
        <v>63000</v>
      </c>
      <c r="I6" s="85">
        <v>63000</v>
      </c>
      <c r="J6" s="86">
        <v>63000</v>
      </c>
      <c r="K6" s="87">
        <v>63000</v>
      </c>
      <c r="L6" s="312">
        <v>252000</v>
      </c>
      <c r="M6" s="313"/>
      <c r="N6" s="88"/>
      <c r="O6" s="88"/>
      <c r="P6" s="89"/>
    </row>
    <row r="7" spans="1:16" s="71" customFormat="1" ht="39.75" customHeight="1" thickBot="1">
      <c r="A7" s="90" t="s">
        <v>12</v>
      </c>
      <c r="B7" s="314" t="s">
        <v>98</v>
      </c>
      <c r="C7" s="315"/>
      <c r="D7" s="315"/>
      <c r="E7" s="315"/>
      <c r="F7" s="315"/>
      <c r="G7" s="315"/>
      <c r="H7" s="315"/>
      <c r="I7" s="315"/>
      <c r="J7" s="315"/>
      <c r="K7" s="315"/>
      <c r="L7" s="316"/>
      <c r="M7" s="317"/>
      <c r="N7" s="91"/>
      <c r="O7" s="91"/>
      <c r="P7" s="92"/>
    </row>
    <row r="8" spans="1:16" s="71" customFormat="1" ht="39.75" customHeight="1" thickBot="1">
      <c r="A8" s="93">
        <v>1</v>
      </c>
      <c r="B8" s="94" t="s">
        <v>99</v>
      </c>
      <c r="C8" s="95" t="s">
        <v>100</v>
      </c>
      <c r="D8" s="95" t="s">
        <v>101</v>
      </c>
      <c r="E8" s="96">
        <f>SUM(F8:K8)</f>
        <v>210616</v>
      </c>
      <c r="F8" s="97">
        <v>101616</v>
      </c>
      <c r="G8" s="97">
        <v>35000</v>
      </c>
      <c r="H8" s="196">
        <v>36000</v>
      </c>
      <c r="I8" s="97">
        <v>38000</v>
      </c>
      <c r="J8" s="98"/>
      <c r="K8" s="99"/>
      <c r="L8" s="318">
        <v>74000</v>
      </c>
      <c r="M8" s="319"/>
      <c r="N8" s="91"/>
      <c r="O8" s="91"/>
      <c r="P8" s="92"/>
    </row>
    <row r="9" spans="1:16" s="71" customFormat="1" ht="20.25" customHeight="1" thickBot="1">
      <c r="A9" s="320" t="s">
        <v>102</v>
      </c>
      <c r="B9" s="321"/>
      <c r="C9" s="100" t="s">
        <v>82</v>
      </c>
      <c r="D9" s="100" t="s">
        <v>82</v>
      </c>
      <c r="E9" s="101">
        <f aca="true" t="shared" si="0" ref="E9:K9">SUM(E8:E8)</f>
        <v>210616</v>
      </c>
      <c r="F9" s="101">
        <f t="shared" si="0"/>
        <v>101616</v>
      </c>
      <c r="G9" s="101">
        <f t="shared" si="0"/>
        <v>35000</v>
      </c>
      <c r="H9" s="163">
        <f t="shared" si="0"/>
        <v>36000</v>
      </c>
      <c r="I9" s="101">
        <f t="shared" si="0"/>
        <v>38000</v>
      </c>
      <c r="J9" s="102">
        <f t="shared" si="0"/>
        <v>0</v>
      </c>
      <c r="K9" s="102">
        <f t="shared" si="0"/>
        <v>0</v>
      </c>
      <c r="L9" s="322">
        <v>74000</v>
      </c>
      <c r="M9" s="323"/>
      <c r="N9" s="91"/>
      <c r="O9" s="91"/>
      <c r="P9" s="103"/>
    </row>
    <row r="10" spans="1:16" s="71" customFormat="1" ht="28.5" customHeight="1" thickBot="1">
      <c r="A10" s="104" t="s">
        <v>20</v>
      </c>
      <c r="B10" s="324" t="s">
        <v>103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6"/>
      <c r="M10" s="327"/>
      <c r="N10" s="91"/>
      <c r="O10" s="91"/>
      <c r="P10" s="92"/>
    </row>
    <row r="11" spans="1:18" ht="39.75" customHeight="1" thickBot="1">
      <c r="A11" s="105"/>
      <c r="B11" s="106" t="s">
        <v>104</v>
      </c>
      <c r="C11" s="259" t="s">
        <v>105</v>
      </c>
      <c r="D11" s="259" t="s">
        <v>106</v>
      </c>
      <c r="E11" s="107">
        <f>SUM(E12:E15)</f>
        <v>2885843.2199999997</v>
      </c>
      <c r="F11" s="107">
        <f>SUM(F12:F15)</f>
        <v>1894054.24</v>
      </c>
      <c r="G11" s="107">
        <f>SUM(G12:G15)</f>
        <v>991788.98</v>
      </c>
      <c r="H11" s="197">
        <v>0</v>
      </c>
      <c r="I11" s="107">
        <v>0</v>
      </c>
      <c r="J11" s="107">
        <v>0</v>
      </c>
      <c r="K11" s="108">
        <v>0</v>
      </c>
      <c r="L11" s="277">
        <v>0</v>
      </c>
      <c r="M11" s="278"/>
      <c r="N11" s="109"/>
      <c r="O11" s="110"/>
      <c r="P11" s="111"/>
      <c r="Q11" s="72"/>
      <c r="R11" s="72"/>
    </row>
    <row r="12" spans="1:18" ht="18.75" customHeight="1" thickBot="1">
      <c r="A12" s="112">
        <v>1</v>
      </c>
      <c r="B12" s="113" t="s">
        <v>107</v>
      </c>
      <c r="C12" s="302"/>
      <c r="D12" s="304"/>
      <c r="E12" s="114">
        <f aca="true" t="shared" si="1" ref="E12:E21">SUM(F12:I12)</f>
        <v>993605.22</v>
      </c>
      <c r="F12" s="114">
        <v>923135.24</v>
      </c>
      <c r="G12" s="114">
        <v>70469.98</v>
      </c>
      <c r="H12" s="198">
        <v>0</v>
      </c>
      <c r="I12" s="114">
        <v>0</v>
      </c>
      <c r="J12" s="114">
        <v>0</v>
      </c>
      <c r="K12" s="115">
        <v>0</v>
      </c>
      <c r="L12" s="279"/>
      <c r="M12" s="280"/>
      <c r="N12" s="109"/>
      <c r="O12" s="109"/>
      <c r="P12" s="111"/>
      <c r="Q12" s="72"/>
      <c r="R12" s="72"/>
    </row>
    <row r="13" spans="1:18" ht="18.75" customHeight="1" thickBot="1">
      <c r="A13" s="112"/>
      <c r="B13" s="113" t="s">
        <v>108</v>
      </c>
      <c r="C13" s="302"/>
      <c r="D13" s="304"/>
      <c r="E13" s="114">
        <f t="shared" si="1"/>
        <v>932100</v>
      </c>
      <c r="F13" s="114">
        <v>32100</v>
      </c>
      <c r="G13" s="114">
        <v>900000</v>
      </c>
      <c r="H13" s="198">
        <v>0</v>
      </c>
      <c r="I13" s="114">
        <v>0</v>
      </c>
      <c r="J13" s="114">
        <v>0</v>
      </c>
      <c r="K13" s="115">
        <v>0</v>
      </c>
      <c r="L13" s="286"/>
      <c r="M13" s="288"/>
      <c r="N13" s="109"/>
      <c r="O13" s="109"/>
      <c r="P13" s="111"/>
      <c r="Q13" s="72"/>
      <c r="R13" s="72"/>
    </row>
    <row r="14" spans="1:18" ht="18.75" customHeight="1" thickBot="1">
      <c r="A14" s="112"/>
      <c r="B14" s="113" t="s">
        <v>109</v>
      </c>
      <c r="C14" s="302"/>
      <c r="D14" s="304"/>
      <c r="E14" s="114">
        <f t="shared" si="1"/>
        <v>826593</v>
      </c>
      <c r="F14" s="114">
        <v>826593</v>
      </c>
      <c r="G14" s="114">
        <v>0</v>
      </c>
      <c r="H14" s="198">
        <v>0</v>
      </c>
      <c r="I14" s="114">
        <v>0</v>
      </c>
      <c r="J14" s="114">
        <v>0</v>
      </c>
      <c r="K14" s="115">
        <v>0</v>
      </c>
      <c r="L14" s="286"/>
      <c r="M14" s="288"/>
      <c r="N14" s="109"/>
      <c r="O14" s="109"/>
      <c r="P14" s="111"/>
      <c r="Q14" s="72"/>
      <c r="R14" s="72"/>
    </row>
    <row r="15" spans="1:18" ht="18.75" customHeight="1" thickBot="1">
      <c r="A15" s="116"/>
      <c r="B15" s="117" t="s">
        <v>110</v>
      </c>
      <c r="C15" s="303"/>
      <c r="D15" s="305"/>
      <c r="E15" s="114">
        <f t="shared" si="1"/>
        <v>133545</v>
      </c>
      <c r="F15" s="118">
        <v>112226</v>
      </c>
      <c r="G15" s="118">
        <v>21319</v>
      </c>
      <c r="H15" s="199">
        <v>0</v>
      </c>
      <c r="I15" s="118">
        <v>0</v>
      </c>
      <c r="J15" s="118">
        <v>0</v>
      </c>
      <c r="K15" s="119">
        <v>0</v>
      </c>
      <c r="L15" s="282"/>
      <c r="M15" s="283"/>
      <c r="N15" s="109"/>
      <c r="O15" s="109"/>
      <c r="P15" s="111"/>
      <c r="Q15" s="72"/>
      <c r="R15" s="72"/>
    </row>
    <row r="16" spans="1:19" ht="39.75" customHeight="1" thickBot="1">
      <c r="A16" s="181">
        <v>2</v>
      </c>
      <c r="B16" s="106" t="s">
        <v>140</v>
      </c>
      <c r="C16" s="259" t="s">
        <v>105</v>
      </c>
      <c r="D16" s="259" t="s">
        <v>141</v>
      </c>
      <c r="E16" s="107">
        <f t="shared" si="1"/>
        <v>4042366.19</v>
      </c>
      <c r="F16" s="107">
        <f>SUM(F17:F21)</f>
        <v>132366.19</v>
      </c>
      <c r="G16" s="107">
        <f>SUM(G17:G21)</f>
        <v>385000</v>
      </c>
      <c r="H16" s="197">
        <f>SUM(H17:H21)</f>
        <v>2525000</v>
      </c>
      <c r="I16" s="107">
        <f>SUM(I17:I21)</f>
        <v>1000000</v>
      </c>
      <c r="J16" s="107">
        <v>0</v>
      </c>
      <c r="K16" s="108">
        <v>0</v>
      </c>
      <c r="L16" s="277">
        <v>0</v>
      </c>
      <c r="M16" s="278"/>
      <c r="N16" s="109"/>
      <c r="O16" s="109"/>
      <c r="P16" s="111"/>
      <c r="Q16" s="72"/>
      <c r="R16" s="72"/>
      <c r="S16" s="72"/>
    </row>
    <row r="17" spans="1:19" ht="20.25" customHeight="1" thickBot="1">
      <c r="A17" s="112"/>
      <c r="B17" s="113" t="s">
        <v>107</v>
      </c>
      <c r="C17" s="302"/>
      <c r="D17" s="304"/>
      <c r="E17" s="107">
        <f t="shared" si="1"/>
        <v>1422366.19</v>
      </c>
      <c r="F17" s="114">
        <v>132366.19</v>
      </c>
      <c r="G17" s="114">
        <v>285000</v>
      </c>
      <c r="H17" s="198">
        <v>5000</v>
      </c>
      <c r="I17" s="114">
        <v>1000000</v>
      </c>
      <c r="J17" s="114">
        <v>0</v>
      </c>
      <c r="K17" s="115">
        <v>0</v>
      </c>
      <c r="L17" s="279"/>
      <c r="M17" s="280"/>
      <c r="N17" s="109"/>
      <c r="O17" s="109"/>
      <c r="P17" s="111"/>
      <c r="Q17" s="72"/>
      <c r="R17" s="72"/>
      <c r="S17" s="72"/>
    </row>
    <row r="18" spans="1:19" ht="20.25" customHeight="1" thickBot="1">
      <c r="A18" s="112"/>
      <c r="B18" s="113" t="s">
        <v>108</v>
      </c>
      <c r="C18" s="302"/>
      <c r="D18" s="304"/>
      <c r="E18" s="114">
        <f t="shared" si="1"/>
        <v>500000</v>
      </c>
      <c r="F18" s="114">
        <v>0</v>
      </c>
      <c r="G18" s="114">
        <v>0</v>
      </c>
      <c r="H18" s="198">
        <v>500000</v>
      </c>
      <c r="I18" s="114">
        <v>0</v>
      </c>
      <c r="J18" s="114">
        <v>0</v>
      </c>
      <c r="K18" s="115">
        <v>0</v>
      </c>
      <c r="L18" s="286"/>
      <c r="M18" s="288"/>
      <c r="N18" s="109"/>
      <c r="O18" s="109"/>
      <c r="P18" s="111"/>
      <c r="Q18" s="72"/>
      <c r="R18" s="72"/>
      <c r="S18" s="72"/>
    </row>
    <row r="19" spans="1:19" ht="20.25" customHeight="1" thickBot="1">
      <c r="A19" s="112"/>
      <c r="B19" s="113" t="s">
        <v>109</v>
      </c>
      <c r="C19" s="302"/>
      <c r="D19" s="304"/>
      <c r="E19" s="114">
        <f t="shared" si="1"/>
        <v>0</v>
      </c>
      <c r="F19" s="114">
        <v>0</v>
      </c>
      <c r="G19" s="114">
        <v>0</v>
      </c>
      <c r="H19" s="198">
        <v>0</v>
      </c>
      <c r="I19" s="114">
        <v>0</v>
      </c>
      <c r="J19" s="114">
        <v>0</v>
      </c>
      <c r="K19" s="115">
        <v>0</v>
      </c>
      <c r="L19" s="286"/>
      <c r="M19" s="288"/>
      <c r="N19" s="109"/>
      <c r="O19" s="109"/>
      <c r="P19" s="111"/>
      <c r="Q19" s="72"/>
      <c r="R19" s="72"/>
      <c r="S19" s="72"/>
    </row>
    <row r="20" spans="1:19" ht="20.25" customHeight="1" thickBot="1">
      <c r="A20" s="112"/>
      <c r="B20" s="113" t="s">
        <v>110</v>
      </c>
      <c r="C20" s="302"/>
      <c r="D20" s="304"/>
      <c r="E20" s="114">
        <f t="shared" si="1"/>
        <v>0</v>
      </c>
      <c r="F20" s="114">
        <v>0</v>
      </c>
      <c r="G20" s="114">
        <v>0</v>
      </c>
      <c r="H20" s="198">
        <v>0</v>
      </c>
      <c r="I20" s="114">
        <v>0</v>
      </c>
      <c r="J20" s="114">
        <v>0</v>
      </c>
      <c r="K20" s="115">
        <v>0</v>
      </c>
      <c r="L20" s="286"/>
      <c r="M20" s="288"/>
      <c r="N20" s="109"/>
      <c r="O20" s="109"/>
      <c r="P20" s="111"/>
      <c r="Q20" s="72"/>
      <c r="R20" s="72"/>
      <c r="S20" s="72"/>
    </row>
    <row r="21" spans="1:19" ht="18.75" customHeight="1" thickBot="1">
      <c r="A21" s="116">
        <v>80101</v>
      </c>
      <c r="B21" s="120" t="s">
        <v>112</v>
      </c>
      <c r="C21" s="303"/>
      <c r="D21" s="305"/>
      <c r="E21" s="118">
        <f t="shared" si="1"/>
        <v>2120000</v>
      </c>
      <c r="F21" s="118">
        <v>0</v>
      </c>
      <c r="G21" s="118">
        <v>100000</v>
      </c>
      <c r="H21" s="199">
        <v>2020000</v>
      </c>
      <c r="I21" s="118">
        <v>0</v>
      </c>
      <c r="J21" s="118">
        <v>0</v>
      </c>
      <c r="K21" s="119">
        <v>0</v>
      </c>
      <c r="L21" s="282"/>
      <c r="M21" s="283"/>
      <c r="N21" s="109"/>
      <c r="O21" s="109"/>
      <c r="P21" s="111"/>
      <c r="Q21" s="72"/>
      <c r="R21" s="72"/>
      <c r="S21" s="72"/>
    </row>
    <row r="22" spans="1:16" ht="39.75" customHeight="1" thickBot="1">
      <c r="A22" s="105">
        <v>3</v>
      </c>
      <c r="B22" s="106" t="s">
        <v>135</v>
      </c>
      <c r="C22" s="259" t="s">
        <v>105</v>
      </c>
      <c r="D22" s="259" t="s">
        <v>113</v>
      </c>
      <c r="E22" s="170">
        <f>SUM(E23:E26)</f>
        <v>182000</v>
      </c>
      <c r="F22" s="107">
        <v>0</v>
      </c>
      <c r="G22" s="107">
        <f>SUM(G23:G26)</f>
        <v>115000</v>
      </c>
      <c r="H22" s="197">
        <f>SUM(H23:H26)</f>
        <v>67000</v>
      </c>
      <c r="I22" s="107">
        <f>SUM(I23:I26)</f>
        <v>0</v>
      </c>
      <c r="J22" s="107">
        <f>SUM(J23:J26)</f>
        <v>0</v>
      </c>
      <c r="K22" s="108">
        <v>0</v>
      </c>
      <c r="L22" s="277">
        <v>0</v>
      </c>
      <c r="M22" s="278"/>
      <c r="N22" s="121"/>
      <c r="O22" s="121"/>
      <c r="P22" s="122"/>
    </row>
    <row r="23" spans="1:16" ht="22.5" customHeight="1" thickBot="1">
      <c r="A23" s="112"/>
      <c r="B23" s="113" t="s">
        <v>107</v>
      </c>
      <c r="C23" s="302"/>
      <c r="D23" s="304"/>
      <c r="E23" s="114">
        <f>SUM(F23:J23)</f>
        <v>182000</v>
      </c>
      <c r="F23" s="114">
        <v>0</v>
      </c>
      <c r="G23" s="114">
        <v>115000</v>
      </c>
      <c r="H23" s="198">
        <v>67000</v>
      </c>
      <c r="I23" s="114">
        <v>0</v>
      </c>
      <c r="J23" s="114">
        <v>0</v>
      </c>
      <c r="K23" s="115">
        <v>0</v>
      </c>
      <c r="L23" s="279"/>
      <c r="M23" s="280"/>
      <c r="N23" s="121"/>
      <c r="O23" s="121"/>
      <c r="P23" s="122"/>
    </row>
    <row r="24" spans="1:16" ht="22.5" customHeight="1" thickBot="1">
      <c r="A24" s="112"/>
      <c r="B24" s="113" t="s">
        <v>115</v>
      </c>
      <c r="C24" s="302"/>
      <c r="D24" s="304"/>
      <c r="E24" s="114">
        <f>SUM(F24:J24)</f>
        <v>0</v>
      </c>
      <c r="F24" s="114">
        <v>0</v>
      </c>
      <c r="G24" s="114">
        <v>0</v>
      </c>
      <c r="H24" s="198">
        <v>0</v>
      </c>
      <c r="I24" s="114">
        <v>0</v>
      </c>
      <c r="J24" s="114">
        <v>0</v>
      </c>
      <c r="K24" s="115">
        <v>0</v>
      </c>
      <c r="L24" s="286"/>
      <c r="M24" s="288"/>
      <c r="N24" s="121"/>
      <c r="O24" s="121"/>
      <c r="P24" s="122"/>
    </row>
    <row r="25" spans="1:16" ht="22.5" customHeight="1" thickBot="1">
      <c r="A25" s="112"/>
      <c r="B25" s="113" t="s">
        <v>109</v>
      </c>
      <c r="C25" s="302"/>
      <c r="D25" s="304"/>
      <c r="E25" s="114">
        <f>SUM(F25:J25)</f>
        <v>0</v>
      </c>
      <c r="F25" s="114">
        <v>0</v>
      </c>
      <c r="G25" s="114">
        <v>0</v>
      </c>
      <c r="H25" s="198">
        <v>0</v>
      </c>
      <c r="I25" s="114">
        <v>0</v>
      </c>
      <c r="J25" s="114">
        <v>0</v>
      </c>
      <c r="K25" s="115">
        <v>0</v>
      </c>
      <c r="L25" s="286"/>
      <c r="M25" s="288"/>
      <c r="N25" s="121"/>
      <c r="O25" s="121"/>
      <c r="P25" s="122"/>
    </row>
    <row r="26" spans="1:16" ht="22.5" customHeight="1" thickBot="1">
      <c r="A26" s="116">
        <v>70005</v>
      </c>
      <c r="B26" s="117" t="s">
        <v>110</v>
      </c>
      <c r="C26" s="303"/>
      <c r="D26" s="305"/>
      <c r="E26" s="118">
        <f>SUM(F26:J26)</f>
        <v>0</v>
      </c>
      <c r="F26" s="118">
        <v>0</v>
      </c>
      <c r="G26" s="118">
        <v>0</v>
      </c>
      <c r="H26" s="199">
        <v>0</v>
      </c>
      <c r="I26" s="118">
        <v>0</v>
      </c>
      <c r="J26" s="118">
        <v>0</v>
      </c>
      <c r="K26" s="119">
        <v>0</v>
      </c>
      <c r="L26" s="282"/>
      <c r="M26" s="283"/>
      <c r="N26" s="121"/>
      <c r="O26" s="121"/>
      <c r="P26" s="122"/>
    </row>
    <row r="27" spans="1:16" ht="39.75" customHeight="1" thickBot="1">
      <c r="A27" s="105">
        <v>4</v>
      </c>
      <c r="B27" s="106" t="s">
        <v>116</v>
      </c>
      <c r="C27" s="259" t="s">
        <v>105</v>
      </c>
      <c r="D27" s="259" t="s">
        <v>113</v>
      </c>
      <c r="E27" s="124">
        <f>SUM(E28:E31)</f>
        <v>100000</v>
      </c>
      <c r="F27" s="107">
        <v>0</v>
      </c>
      <c r="G27" s="107">
        <v>50000</v>
      </c>
      <c r="H27" s="197">
        <f>SUM(H28:H31)</f>
        <v>50000</v>
      </c>
      <c r="I27" s="107">
        <f>SUM(I28:I31)</f>
        <v>0</v>
      </c>
      <c r="J27" s="107">
        <f>SUM(J28:J31)</f>
        <v>0</v>
      </c>
      <c r="K27" s="108">
        <v>0</v>
      </c>
      <c r="L27" s="277">
        <v>100000</v>
      </c>
      <c r="M27" s="278"/>
      <c r="N27" s="121"/>
      <c r="O27" s="121"/>
      <c r="P27" s="122"/>
    </row>
    <row r="28" spans="1:16" ht="17.25" customHeight="1" thickBot="1">
      <c r="A28" s="112"/>
      <c r="B28" s="113" t="s">
        <v>107</v>
      </c>
      <c r="C28" s="302"/>
      <c r="D28" s="304"/>
      <c r="E28" s="123">
        <v>100000</v>
      </c>
      <c r="F28" s="114">
        <v>0</v>
      </c>
      <c r="G28" s="114">
        <v>50000</v>
      </c>
      <c r="H28" s="198">
        <v>50000</v>
      </c>
      <c r="I28" s="114">
        <v>0</v>
      </c>
      <c r="J28" s="114">
        <v>0</v>
      </c>
      <c r="K28" s="115">
        <v>0</v>
      </c>
      <c r="L28" s="279"/>
      <c r="M28" s="280"/>
      <c r="N28" s="121"/>
      <c r="O28" s="121"/>
      <c r="P28" s="122"/>
    </row>
    <row r="29" spans="1:16" ht="15.75" thickBot="1">
      <c r="A29" s="112"/>
      <c r="B29" s="113" t="s">
        <v>115</v>
      </c>
      <c r="C29" s="302"/>
      <c r="D29" s="304"/>
      <c r="E29" s="123">
        <v>0</v>
      </c>
      <c r="F29" s="114">
        <v>0</v>
      </c>
      <c r="G29" s="114">
        <v>0</v>
      </c>
      <c r="H29" s="198">
        <v>0</v>
      </c>
      <c r="I29" s="114">
        <v>0</v>
      </c>
      <c r="J29" s="114">
        <v>0</v>
      </c>
      <c r="K29" s="115">
        <v>0</v>
      </c>
      <c r="L29" s="286"/>
      <c r="M29" s="288"/>
      <c r="N29" s="121"/>
      <c r="O29" s="121"/>
      <c r="P29" s="122"/>
    </row>
    <row r="30" spans="1:16" ht="15.75" thickBot="1">
      <c r="A30" s="112"/>
      <c r="B30" s="113" t="s">
        <v>109</v>
      </c>
      <c r="C30" s="302"/>
      <c r="D30" s="304"/>
      <c r="E30" s="123">
        <v>0</v>
      </c>
      <c r="F30" s="114">
        <v>0</v>
      </c>
      <c r="G30" s="114">
        <v>0</v>
      </c>
      <c r="H30" s="198">
        <v>0</v>
      </c>
      <c r="I30" s="114">
        <v>0</v>
      </c>
      <c r="J30" s="114">
        <v>0</v>
      </c>
      <c r="K30" s="115">
        <v>0</v>
      </c>
      <c r="L30" s="286"/>
      <c r="M30" s="288"/>
      <c r="N30" s="121"/>
      <c r="O30" s="121"/>
      <c r="P30" s="122"/>
    </row>
    <row r="31" spans="1:16" ht="15.75" thickBot="1">
      <c r="A31" s="116">
        <v>75023</v>
      </c>
      <c r="B31" s="117" t="s">
        <v>110</v>
      </c>
      <c r="C31" s="303"/>
      <c r="D31" s="305"/>
      <c r="E31" s="118">
        <v>0</v>
      </c>
      <c r="F31" s="118">
        <v>0</v>
      </c>
      <c r="G31" s="118">
        <v>0</v>
      </c>
      <c r="H31" s="199">
        <v>0</v>
      </c>
      <c r="I31" s="118">
        <v>0</v>
      </c>
      <c r="J31" s="118">
        <v>0</v>
      </c>
      <c r="K31" s="119">
        <v>0</v>
      </c>
      <c r="L31" s="282"/>
      <c r="M31" s="283"/>
      <c r="N31" s="121"/>
      <c r="O31" s="121"/>
      <c r="P31" s="122"/>
    </row>
    <row r="32" spans="1:16" ht="26.25" thickBot="1">
      <c r="A32" s="125">
        <v>5</v>
      </c>
      <c r="B32" s="126" t="s">
        <v>136</v>
      </c>
      <c r="C32" s="301" t="s">
        <v>105</v>
      </c>
      <c r="D32" s="259" t="s">
        <v>137</v>
      </c>
      <c r="E32" s="127">
        <f>SUM(E33:E36)</f>
        <v>1068568.97</v>
      </c>
      <c r="F32" s="127">
        <f>SUM(F33:F36)</f>
        <v>603568.97</v>
      </c>
      <c r="G32" s="127">
        <f>SUM(G33:G36)</f>
        <v>465000</v>
      </c>
      <c r="H32" s="200">
        <v>0</v>
      </c>
      <c r="I32" s="127">
        <v>0</v>
      </c>
      <c r="J32" s="128">
        <v>0</v>
      </c>
      <c r="K32" s="129">
        <v>0</v>
      </c>
      <c r="L32" s="277">
        <v>0</v>
      </c>
      <c r="M32" s="278"/>
      <c r="N32" s="121"/>
      <c r="O32" s="121"/>
      <c r="P32" s="122"/>
    </row>
    <row r="33" spans="1:16" ht="15.75" thickBot="1">
      <c r="A33" s="112"/>
      <c r="B33" s="113" t="s">
        <v>107</v>
      </c>
      <c r="C33" s="260"/>
      <c r="D33" s="260"/>
      <c r="E33" s="130">
        <f>SUM(F33:G33)</f>
        <v>703095.97</v>
      </c>
      <c r="F33" s="130">
        <v>531658.97</v>
      </c>
      <c r="G33" s="130">
        <v>171437</v>
      </c>
      <c r="H33" s="201">
        <v>0</v>
      </c>
      <c r="I33" s="130">
        <v>0</v>
      </c>
      <c r="J33" s="131">
        <v>0</v>
      </c>
      <c r="K33" s="132">
        <v>0</v>
      </c>
      <c r="L33" s="279"/>
      <c r="M33" s="280"/>
      <c r="N33" s="121"/>
      <c r="O33" s="121"/>
      <c r="P33" s="122"/>
    </row>
    <row r="34" spans="1:16" ht="15.75" thickBot="1">
      <c r="A34" s="112"/>
      <c r="B34" s="113" t="s">
        <v>117</v>
      </c>
      <c r="C34" s="260"/>
      <c r="D34" s="260"/>
      <c r="E34" s="130">
        <v>0</v>
      </c>
      <c r="F34" s="130">
        <v>0</v>
      </c>
      <c r="G34" s="130">
        <v>0</v>
      </c>
      <c r="H34" s="201">
        <v>0</v>
      </c>
      <c r="I34" s="130">
        <v>0</v>
      </c>
      <c r="J34" s="131">
        <v>0</v>
      </c>
      <c r="K34" s="132"/>
      <c r="L34" s="286"/>
      <c r="M34" s="288"/>
      <c r="N34" s="121"/>
      <c r="O34" s="121"/>
      <c r="P34" s="122"/>
    </row>
    <row r="35" spans="1:16" ht="15.75" thickBot="1">
      <c r="A35" s="112"/>
      <c r="B35" s="113" t="s">
        <v>118</v>
      </c>
      <c r="C35" s="260"/>
      <c r="D35" s="260"/>
      <c r="E35" s="130">
        <v>161910</v>
      </c>
      <c r="F35" s="130">
        <v>71910</v>
      </c>
      <c r="G35" s="130">
        <v>90000</v>
      </c>
      <c r="H35" s="201">
        <v>0</v>
      </c>
      <c r="I35" s="130">
        <v>0</v>
      </c>
      <c r="J35" s="131">
        <v>0</v>
      </c>
      <c r="K35" s="132">
        <v>0</v>
      </c>
      <c r="L35" s="286"/>
      <c r="M35" s="288"/>
      <c r="N35" s="121"/>
      <c r="O35" s="121"/>
      <c r="P35" s="122"/>
    </row>
    <row r="36" spans="1:16" ht="15.75" thickBot="1">
      <c r="A36" s="112"/>
      <c r="B36" s="113" t="s">
        <v>119</v>
      </c>
      <c r="C36" s="260"/>
      <c r="D36" s="289"/>
      <c r="E36" s="130">
        <v>203563</v>
      </c>
      <c r="F36" s="130">
        <v>0</v>
      </c>
      <c r="G36" s="130">
        <v>203563</v>
      </c>
      <c r="H36" s="201">
        <v>0</v>
      </c>
      <c r="I36" s="130">
        <v>0</v>
      </c>
      <c r="J36" s="131">
        <v>0</v>
      </c>
      <c r="K36" s="132">
        <v>0</v>
      </c>
      <c r="L36" s="282"/>
      <c r="M36" s="283"/>
      <c r="N36" s="121"/>
      <c r="O36" s="121"/>
      <c r="P36" s="122"/>
    </row>
    <row r="37" spans="1:18" ht="64.5" thickBot="1">
      <c r="A37" s="133">
        <v>6</v>
      </c>
      <c r="B37" s="134" t="s">
        <v>120</v>
      </c>
      <c r="C37" s="259" t="s">
        <v>105</v>
      </c>
      <c r="D37" s="259" t="s">
        <v>126</v>
      </c>
      <c r="E37" s="135">
        <f>SUM(F37:H37)</f>
        <v>2928272.16</v>
      </c>
      <c r="F37" s="136">
        <f>SUM(F38:F40)</f>
        <v>148195.52000000002</v>
      </c>
      <c r="G37" s="136">
        <f>SUM(G38:G40)</f>
        <v>2031076.64</v>
      </c>
      <c r="H37" s="202">
        <f>SUM(H38:H40)</f>
        <v>749000</v>
      </c>
      <c r="I37" s="136">
        <v>0</v>
      </c>
      <c r="J37" s="136">
        <v>0</v>
      </c>
      <c r="K37" s="137">
        <v>0</v>
      </c>
      <c r="L37" s="277">
        <v>0</v>
      </c>
      <c r="M37" s="278"/>
      <c r="N37" s="109"/>
      <c r="O37" s="109"/>
      <c r="P37" s="111"/>
      <c r="Q37" s="72"/>
      <c r="R37" s="72"/>
    </row>
    <row r="38" spans="1:18" ht="15.75" thickBot="1">
      <c r="A38" s="112"/>
      <c r="B38" s="113" t="s">
        <v>107</v>
      </c>
      <c r="C38" s="260"/>
      <c r="D38" s="260"/>
      <c r="E38" s="130">
        <f>SUM(F38:H38)</f>
        <v>115000</v>
      </c>
      <c r="F38" s="130">
        <v>80000</v>
      </c>
      <c r="G38" s="130">
        <v>0</v>
      </c>
      <c r="H38" s="201">
        <v>35000</v>
      </c>
      <c r="I38" s="130">
        <v>0</v>
      </c>
      <c r="J38" s="131">
        <v>0</v>
      </c>
      <c r="K38" s="132">
        <v>0</v>
      </c>
      <c r="L38" s="279"/>
      <c r="M38" s="280"/>
      <c r="N38" s="109"/>
      <c r="O38" s="109"/>
      <c r="P38" s="111"/>
      <c r="Q38" s="72"/>
      <c r="R38" s="72"/>
    </row>
    <row r="39" spans="1:18" ht="15.75" thickBot="1">
      <c r="A39" s="112"/>
      <c r="B39" s="113" t="s">
        <v>121</v>
      </c>
      <c r="C39" s="260"/>
      <c r="D39" s="260"/>
      <c r="E39" s="130">
        <f>SUM(F39:H39)</f>
        <v>1200000</v>
      </c>
      <c r="F39" s="130">
        <v>0</v>
      </c>
      <c r="G39" s="130">
        <v>700000</v>
      </c>
      <c r="H39" s="201">
        <v>500000</v>
      </c>
      <c r="I39" s="130">
        <v>0</v>
      </c>
      <c r="J39" s="131">
        <v>0</v>
      </c>
      <c r="K39" s="132">
        <v>0</v>
      </c>
      <c r="L39" s="286"/>
      <c r="M39" s="288"/>
      <c r="N39" s="109"/>
      <c r="O39" s="109"/>
      <c r="P39" s="111"/>
      <c r="Q39" s="72"/>
      <c r="R39" s="72"/>
    </row>
    <row r="40" spans="1:18" ht="15.75" thickBot="1">
      <c r="A40" s="116">
        <v>92695</v>
      </c>
      <c r="B40" s="117" t="s">
        <v>122</v>
      </c>
      <c r="C40" s="289"/>
      <c r="D40" s="289"/>
      <c r="E40" s="138">
        <f>SUM(F40:H40)</f>
        <v>1613272.16</v>
      </c>
      <c r="F40" s="138">
        <v>68195.52</v>
      </c>
      <c r="G40" s="138">
        <v>1331076.64</v>
      </c>
      <c r="H40" s="203">
        <v>214000</v>
      </c>
      <c r="I40" s="138">
        <v>0</v>
      </c>
      <c r="J40" s="139">
        <v>0</v>
      </c>
      <c r="K40" s="140">
        <v>0</v>
      </c>
      <c r="L40" s="282"/>
      <c r="M40" s="283"/>
      <c r="N40" s="109"/>
      <c r="O40" s="109"/>
      <c r="P40" s="111"/>
      <c r="Q40" s="72"/>
      <c r="R40" s="72"/>
    </row>
    <row r="41" spans="1:18" ht="51.75" thickBot="1">
      <c r="A41" s="125">
        <v>7</v>
      </c>
      <c r="B41" s="126" t="s">
        <v>123</v>
      </c>
      <c r="C41" s="301" t="s">
        <v>105</v>
      </c>
      <c r="D41" s="259" t="s">
        <v>101</v>
      </c>
      <c r="E41" s="127">
        <f>SUM(E42:E45)</f>
        <v>5174297.24</v>
      </c>
      <c r="F41" s="127">
        <f>SUM(F42:F45)</f>
        <v>195297.24</v>
      </c>
      <c r="G41" s="127">
        <v>0</v>
      </c>
      <c r="H41" s="200">
        <f>SUM(H42:H45)</f>
        <v>3479000</v>
      </c>
      <c r="I41" s="127">
        <f>SUM(I42:I45)</f>
        <v>1500000</v>
      </c>
      <c r="J41" s="128">
        <v>0</v>
      </c>
      <c r="K41" s="141">
        <v>0</v>
      </c>
      <c r="L41" s="277">
        <v>0</v>
      </c>
      <c r="M41" s="278"/>
      <c r="N41" s="109"/>
      <c r="O41" s="109"/>
      <c r="P41" s="111"/>
      <c r="Q41" s="72"/>
      <c r="R41" s="72"/>
    </row>
    <row r="42" spans="1:18" ht="15.75" thickBot="1">
      <c r="A42" s="112"/>
      <c r="B42" s="113" t="s">
        <v>107</v>
      </c>
      <c r="C42" s="260"/>
      <c r="D42" s="260"/>
      <c r="E42" s="130">
        <v>1725297.24</v>
      </c>
      <c r="F42" s="130">
        <v>195297.24</v>
      </c>
      <c r="G42" s="130">
        <v>0</v>
      </c>
      <c r="H42" s="201">
        <v>30000</v>
      </c>
      <c r="I42" s="130">
        <v>1500000</v>
      </c>
      <c r="J42" s="131">
        <v>0</v>
      </c>
      <c r="K42" s="132">
        <v>0</v>
      </c>
      <c r="L42" s="279"/>
      <c r="M42" s="280"/>
      <c r="N42" s="109"/>
      <c r="O42" s="109"/>
      <c r="P42" s="111"/>
      <c r="Q42" s="72"/>
      <c r="R42" s="72"/>
    </row>
    <row r="43" spans="1:18" ht="15.75" thickBot="1">
      <c r="A43" s="112"/>
      <c r="B43" s="113" t="s">
        <v>121</v>
      </c>
      <c r="C43" s="260"/>
      <c r="D43" s="260"/>
      <c r="E43" s="130">
        <f>SUM(F43:I43)</f>
        <v>0</v>
      </c>
      <c r="F43" s="130">
        <v>0</v>
      </c>
      <c r="G43" s="130">
        <v>0</v>
      </c>
      <c r="H43" s="201">
        <v>0</v>
      </c>
      <c r="I43" s="130">
        <v>0</v>
      </c>
      <c r="J43" s="131">
        <v>0</v>
      </c>
      <c r="K43" s="132">
        <v>0</v>
      </c>
      <c r="L43" s="286"/>
      <c r="M43" s="288"/>
      <c r="N43" s="109"/>
      <c r="O43" s="109"/>
      <c r="P43" s="111"/>
      <c r="Q43" s="72"/>
      <c r="R43" s="72"/>
    </row>
    <row r="44" spans="1:18" ht="15.75" thickBot="1">
      <c r="A44" s="112"/>
      <c r="B44" s="113" t="s">
        <v>124</v>
      </c>
      <c r="C44" s="260"/>
      <c r="D44" s="260"/>
      <c r="E44" s="173">
        <f>SUM(F44:I44)</f>
        <v>1349000</v>
      </c>
      <c r="F44" s="130">
        <v>0</v>
      </c>
      <c r="G44" s="130">
        <v>0</v>
      </c>
      <c r="H44" s="201">
        <v>1349000</v>
      </c>
      <c r="I44" s="130">
        <v>0</v>
      </c>
      <c r="J44" s="131">
        <v>0</v>
      </c>
      <c r="K44" s="132">
        <v>0</v>
      </c>
      <c r="L44" s="286"/>
      <c r="M44" s="288"/>
      <c r="N44" s="109"/>
      <c r="O44" s="109"/>
      <c r="P44" s="111"/>
      <c r="Q44" s="72"/>
      <c r="R44" s="72"/>
    </row>
    <row r="45" spans="1:18" ht="15.75" thickBot="1">
      <c r="A45" s="112">
        <v>90001</v>
      </c>
      <c r="B45" s="113" t="s">
        <v>122</v>
      </c>
      <c r="C45" s="260"/>
      <c r="D45" s="289"/>
      <c r="E45" s="130">
        <f>SUM(F45:H45)</f>
        <v>2100000</v>
      </c>
      <c r="F45" s="130">
        <v>0</v>
      </c>
      <c r="G45" s="130">
        <v>0</v>
      </c>
      <c r="H45" s="201">
        <v>2100000</v>
      </c>
      <c r="I45" s="130">
        <v>0</v>
      </c>
      <c r="J45" s="131">
        <v>0</v>
      </c>
      <c r="K45" s="132">
        <v>0</v>
      </c>
      <c r="L45" s="282"/>
      <c r="M45" s="283"/>
      <c r="N45" s="109"/>
      <c r="O45" s="109"/>
      <c r="P45" s="111"/>
      <c r="Q45" s="72"/>
      <c r="R45" s="72"/>
    </row>
    <row r="46" spans="1:16" ht="26.25" thickBot="1">
      <c r="A46" s="133">
        <v>8</v>
      </c>
      <c r="B46" s="134" t="s">
        <v>125</v>
      </c>
      <c r="C46" s="259" t="s">
        <v>105</v>
      </c>
      <c r="D46" s="259" t="s">
        <v>126</v>
      </c>
      <c r="E46" s="136">
        <f>SUM(E47:E51)</f>
        <v>103552</v>
      </c>
      <c r="F46" s="136">
        <f>SUM(F47:F51)</f>
        <v>33552</v>
      </c>
      <c r="G46" s="136">
        <v>50000</v>
      </c>
      <c r="H46" s="202">
        <f>SUM(H47:H51)</f>
        <v>20000</v>
      </c>
      <c r="I46" s="136">
        <v>0</v>
      </c>
      <c r="J46" s="136">
        <v>0</v>
      </c>
      <c r="K46" s="137">
        <v>0</v>
      </c>
      <c r="L46" s="277">
        <v>49476.3</v>
      </c>
      <c r="M46" s="278"/>
      <c r="N46" s="121"/>
      <c r="O46" s="121"/>
      <c r="P46" s="122"/>
    </row>
    <row r="47" spans="1:16" ht="15.75" thickBot="1">
      <c r="A47" s="112"/>
      <c r="B47" s="113" t="s">
        <v>107</v>
      </c>
      <c r="C47" s="260"/>
      <c r="D47" s="260"/>
      <c r="E47" s="130">
        <v>103552</v>
      </c>
      <c r="F47" s="130">
        <v>33552</v>
      </c>
      <c r="G47" s="130">
        <v>50000</v>
      </c>
      <c r="H47" s="201">
        <v>20000</v>
      </c>
      <c r="I47" s="130">
        <v>0</v>
      </c>
      <c r="J47" s="130">
        <v>0</v>
      </c>
      <c r="K47" s="131">
        <v>0</v>
      </c>
      <c r="L47" s="306"/>
      <c r="M47" s="307"/>
      <c r="N47" s="121"/>
      <c r="O47" s="121"/>
      <c r="P47" s="122"/>
    </row>
    <row r="48" spans="1:16" ht="15.75" thickBot="1">
      <c r="A48" s="112"/>
      <c r="B48" s="113" t="s">
        <v>115</v>
      </c>
      <c r="C48" s="260"/>
      <c r="D48" s="260"/>
      <c r="E48" s="130">
        <v>0</v>
      </c>
      <c r="F48" s="130">
        <v>0</v>
      </c>
      <c r="G48" s="130">
        <v>0</v>
      </c>
      <c r="H48" s="201">
        <v>0</v>
      </c>
      <c r="I48" s="130">
        <v>0</v>
      </c>
      <c r="J48" s="130">
        <v>0</v>
      </c>
      <c r="K48" s="131">
        <v>0</v>
      </c>
      <c r="L48" s="286"/>
      <c r="M48" s="288"/>
      <c r="N48" s="121"/>
      <c r="O48" s="121"/>
      <c r="P48" s="122"/>
    </row>
    <row r="49" spans="1:16" ht="15.75" thickBot="1">
      <c r="A49" s="112"/>
      <c r="B49" s="113" t="s">
        <v>127</v>
      </c>
      <c r="C49" s="260"/>
      <c r="D49" s="260"/>
      <c r="E49" s="130">
        <v>0</v>
      </c>
      <c r="F49" s="130">
        <v>0</v>
      </c>
      <c r="G49" s="130">
        <v>0</v>
      </c>
      <c r="H49" s="201">
        <v>0</v>
      </c>
      <c r="I49" s="130">
        <v>0</v>
      </c>
      <c r="J49" s="130">
        <v>0</v>
      </c>
      <c r="K49" s="131">
        <v>0</v>
      </c>
      <c r="L49" s="286"/>
      <c r="M49" s="288"/>
      <c r="N49" s="121"/>
      <c r="O49" s="121"/>
      <c r="P49" s="122"/>
    </row>
    <row r="50" spans="1:16" ht="15.75" thickBot="1">
      <c r="A50" s="112"/>
      <c r="B50" s="113" t="s">
        <v>110</v>
      </c>
      <c r="C50" s="260"/>
      <c r="D50" s="260"/>
      <c r="E50" s="130">
        <f>SUM(F50:H50)</f>
        <v>0</v>
      </c>
      <c r="F50" s="130">
        <v>0</v>
      </c>
      <c r="G50" s="130">
        <v>0</v>
      </c>
      <c r="H50" s="201">
        <v>0</v>
      </c>
      <c r="I50" s="130">
        <v>0</v>
      </c>
      <c r="J50" s="130">
        <v>0</v>
      </c>
      <c r="K50" s="131">
        <v>0</v>
      </c>
      <c r="L50" s="286"/>
      <c r="M50" s="288"/>
      <c r="N50" s="121"/>
      <c r="O50" s="121"/>
      <c r="P50" s="122"/>
    </row>
    <row r="51" spans="1:16" ht="15.75" thickBot="1">
      <c r="A51" s="116"/>
      <c r="B51" s="117" t="s">
        <v>119</v>
      </c>
      <c r="C51" s="289"/>
      <c r="D51" s="289"/>
      <c r="E51" s="138">
        <f>SUM(F51:H51)</f>
        <v>0</v>
      </c>
      <c r="F51" s="138">
        <v>0</v>
      </c>
      <c r="G51" s="138">
        <v>0</v>
      </c>
      <c r="H51" s="203">
        <v>0</v>
      </c>
      <c r="I51" s="138">
        <v>0</v>
      </c>
      <c r="J51" s="138">
        <v>0</v>
      </c>
      <c r="K51" s="139">
        <v>0</v>
      </c>
      <c r="L51" s="282"/>
      <c r="M51" s="283"/>
      <c r="N51" s="121"/>
      <c r="O51" s="121"/>
      <c r="P51" s="122"/>
    </row>
    <row r="52" spans="1:16" ht="26.25" thickBot="1">
      <c r="A52" s="125">
        <v>9</v>
      </c>
      <c r="B52" s="126" t="s">
        <v>128</v>
      </c>
      <c r="C52" s="301" t="s">
        <v>105</v>
      </c>
      <c r="D52" s="259" t="s">
        <v>129</v>
      </c>
      <c r="E52" s="127">
        <f aca="true" t="shared" si="2" ref="E52:E57">SUM(F52:J52)</f>
        <v>2866765</v>
      </c>
      <c r="F52" s="127">
        <f>SUM(F53:F57)</f>
        <v>20000</v>
      </c>
      <c r="G52" s="127">
        <f>SUM(G53:G57)</f>
        <v>70000</v>
      </c>
      <c r="H52" s="200">
        <f>SUM(H53:H57)</f>
        <v>35000</v>
      </c>
      <c r="I52" s="127">
        <f>SUM(I53:I57)</f>
        <v>965000</v>
      </c>
      <c r="J52" s="127">
        <f>SUM(J53:J57)</f>
        <v>1776765</v>
      </c>
      <c r="K52" s="128">
        <v>0</v>
      </c>
      <c r="L52" s="277">
        <v>2741765</v>
      </c>
      <c r="M52" s="278"/>
      <c r="N52" s="121"/>
      <c r="O52" s="121"/>
      <c r="P52" s="122"/>
    </row>
    <row r="53" spans="1:16" ht="15.75" thickBot="1">
      <c r="A53" s="112"/>
      <c r="B53" s="113" t="s">
        <v>107</v>
      </c>
      <c r="C53" s="260"/>
      <c r="D53" s="260"/>
      <c r="E53" s="130">
        <f>SUM(F53:K53)</f>
        <v>150000</v>
      </c>
      <c r="F53" s="130">
        <v>20000</v>
      </c>
      <c r="G53" s="130">
        <v>70000</v>
      </c>
      <c r="H53" s="201">
        <v>35000</v>
      </c>
      <c r="I53" s="130">
        <v>25000</v>
      </c>
      <c r="J53" s="130">
        <v>0</v>
      </c>
      <c r="K53" s="131">
        <v>0</v>
      </c>
      <c r="L53" s="279"/>
      <c r="M53" s="280"/>
      <c r="N53" s="121"/>
      <c r="O53" s="121"/>
      <c r="P53" s="122"/>
    </row>
    <row r="54" spans="1:16" ht="15.75" thickBot="1">
      <c r="A54" s="112"/>
      <c r="B54" s="113" t="s">
        <v>115</v>
      </c>
      <c r="C54" s="260"/>
      <c r="D54" s="260"/>
      <c r="E54" s="130">
        <f t="shared" si="2"/>
        <v>0</v>
      </c>
      <c r="F54" s="130">
        <v>0</v>
      </c>
      <c r="G54" s="130">
        <v>0</v>
      </c>
      <c r="H54" s="201">
        <v>0</v>
      </c>
      <c r="I54" s="130">
        <v>0</v>
      </c>
      <c r="J54" s="130">
        <v>0</v>
      </c>
      <c r="K54" s="131">
        <v>0</v>
      </c>
      <c r="L54" s="286"/>
      <c r="M54" s="288"/>
      <c r="N54" s="121"/>
      <c r="O54" s="121"/>
      <c r="P54" s="122"/>
    </row>
    <row r="55" spans="1:16" ht="15.75" thickBot="1">
      <c r="A55" s="112"/>
      <c r="B55" s="113" t="s">
        <v>127</v>
      </c>
      <c r="C55" s="260"/>
      <c r="D55" s="260"/>
      <c r="E55" s="130">
        <f t="shared" si="2"/>
        <v>490000</v>
      </c>
      <c r="F55" s="130">
        <v>0</v>
      </c>
      <c r="G55" s="130">
        <v>0</v>
      </c>
      <c r="H55" s="201">
        <v>0</v>
      </c>
      <c r="I55" s="130">
        <v>490000</v>
      </c>
      <c r="J55" s="130">
        <v>0</v>
      </c>
      <c r="K55" s="131">
        <v>0</v>
      </c>
      <c r="L55" s="286"/>
      <c r="M55" s="288"/>
      <c r="N55" s="121"/>
      <c r="O55" s="121"/>
      <c r="P55" s="122"/>
    </row>
    <row r="56" spans="1:16" ht="15.75" thickBot="1">
      <c r="A56" s="112"/>
      <c r="B56" s="113" t="s">
        <v>110</v>
      </c>
      <c r="C56" s="260"/>
      <c r="D56" s="260"/>
      <c r="E56" s="130">
        <f t="shared" si="2"/>
        <v>450000</v>
      </c>
      <c r="F56" s="130">
        <v>0</v>
      </c>
      <c r="G56" s="130">
        <v>0</v>
      </c>
      <c r="H56" s="201"/>
      <c r="I56" s="130">
        <v>450000</v>
      </c>
      <c r="J56" s="130">
        <v>0</v>
      </c>
      <c r="K56" s="131">
        <v>0</v>
      </c>
      <c r="L56" s="286"/>
      <c r="M56" s="288"/>
      <c r="N56" s="121"/>
      <c r="O56" s="121"/>
      <c r="P56" s="122"/>
    </row>
    <row r="57" spans="1:16" ht="15.75" thickBot="1">
      <c r="A57" s="112"/>
      <c r="B57" s="113" t="s">
        <v>119</v>
      </c>
      <c r="C57" s="260"/>
      <c r="D57" s="289"/>
      <c r="E57" s="130">
        <f t="shared" si="2"/>
        <v>1776765</v>
      </c>
      <c r="F57" s="130">
        <v>0</v>
      </c>
      <c r="G57" s="130">
        <v>0</v>
      </c>
      <c r="H57" s="201">
        <v>0</v>
      </c>
      <c r="I57" s="130">
        <v>0</v>
      </c>
      <c r="J57" s="130">
        <v>1776765</v>
      </c>
      <c r="K57" s="131">
        <v>0</v>
      </c>
      <c r="L57" s="282"/>
      <c r="M57" s="283"/>
      <c r="N57" s="121"/>
      <c r="O57" s="121"/>
      <c r="P57" s="122"/>
    </row>
    <row r="58" spans="1:16" ht="26.25" thickBot="1">
      <c r="A58" s="133">
        <v>10</v>
      </c>
      <c r="B58" s="134" t="s">
        <v>138</v>
      </c>
      <c r="C58" s="259" t="s">
        <v>105</v>
      </c>
      <c r="D58" s="259" t="s">
        <v>111</v>
      </c>
      <c r="E58" s="136">
        <f>SUM(F58:I58)</f>
        <v>756394</v>
      </c>
      <c r="F58" s="136">
        <v>50000</v>
      </c>
      <c r="G58" s="136">
        <v>0</v>
      </c>
      <c r="H58" s="202">
        <v>0</v>
      </c>
      <c r="I58" s="202">
        <f>SUM(I59:I61)</f>
        <v>706394</v>
      </c>
      <c r="J58" s="136">
        <v>0</v>
      </c>
      <c r="K58" s="137">
        <v>0</v>
      </c>
      <c r="L58" s="277">
        <v>706394</v>
      </c>
      <c r="M58" s="278"/>
      <c r="N58" s="121"/>
      <c r="O58" s="121"/>
      <c r="P58" s="122"/>
    </row>
    <row r="59" spans="1:16" ht="15.75" thickBot="1">
      <c r="A59" s="112"/>
      <c r="B59" s="113" t="s">
        <v>107</v>
      </c>
      <c r="C59" s="260"/>
      <c r="D59" s="260"/>
      <c r="E59" s="130">
        <f>SUM(F59:I59)</f>
        <v>480000</v>
      </c>
      <c r="F59" s="130">
        <v>50000</v>
      </c>
      <c r="G59" s="130">
        <v>0</v>
      </c>
      <c r="H59" s="198">
        <v>0</v>
      </c>
      <c r="I59" s="201">
        <v>430000</v>
      </c>
      <c r="J59" s="130">
        <v>0</v>
      </c>
      <c r="K59" s="131">
        <v>0</v>
      </c>
      <c r="L59" s="279"/>
      <c r="M59" s="280"/>
      <c r="N59" s="121"/>
      <c r="O59" s="121"/>
      <c r="P59" s="122"/>
    </row>
    <row r="60" spans="1:16" ht="15.75" thickBot="1">
      <c r="A60" s="112"/>
      <c r="B60" s="113" t="s">
        <v>115</v>
      </c>
      <c r="C60" s="260"/>
      <c r="D60" s="260"/>
      <c r="E60" s="130">
        <f>SUM(F60:I60)</f>
        <v>0</v>
      </c>
      <c r="F60" s="130">
        <v>0</v>
      </c>
      <c r="G60" s="130">
        <v>0</v>
      </c>
      <c r="H60" s="198">
        <v>0</v>
      </c>
      <c r="I60" s="201">
        <v>0</v>
      </c>
      <c r="J60" s="130">
        <v>0</v>
      </c>
      <c r="K60" s="131">
        <v>0</v>
      </c>
      <c r="L60" s="286"/>
      <c r="M60" s="288"/>
      <c r="N60" s="121"/>
      <c r="O60" s="121"/>
      <c r="P60" s="122"/>
    </row>
    <row r="61" spans="1:16" ht="15.75" thickBot="1">
      <c r="A61" s="116"/>
      <c r="B61" s="172" t="s">
        <v>122</v>
      </c>
      <c r="C61" s="260"/>
      <c r="D61" s="260"/>
      <c r="E61" s="173">
        <f>SUM(F61:I61)</f>
        <v>276394</v>
      </c>
      <c r="F61" s="173">
        <v>0</v>
      </c>
      <c r="G61" s="173">
        <v>0</v>
      </c>
      <c r="H61" s="199">
        <v>0</v>
      </c>
      <c r="I61" s="201">
        <v>276394</v>
      </c>
      <c r="J61" s="173">
        <v>0</v>
      </c>
      <c r="K61" s="174">
        <v>0</v>
      </c>
      <c r="L61" s="282"/>
      <c r="M61" s="283"/>
      <c r="N61" s="121"/>
      <c r="O61" s="121"/>
      <c r="P61" s="122"/>
    </row>
    <row r="62" spans="1:16" ht="27" thickBot="1" thickTop="1">
      <c r="A62" s="171"/>
      <c r="B62" s="134" t="s">
        <v>143</v>
      </c>
      <c r="C62" s="259" t="s">
        <v>105</v>
      </c>
      <c r="D62" s="259" t="s">
        <v>111</v>
      </c>
      <c r="E62" s="176">
        <f>SUM(F62:J62)</f>
        <v>586437</v>
      </c>
      <c r="F62" s="177">
        <f>SUM(F63:F65)</f>
        <v>50000</v>
      </c>
      <c r="G62" s="177">
        <f>SUM(G63:G65)</f>
        <v>0</v>
      </c>
      <c r="H62" s="204">
        <v>0</v>
      </c>
      <c r="I62" s="211">
        <f>SUM(I63:I65)</f>
        <v>536437</v>
      </c>
      <c r="J62" s="177">
        <f>SUM(J63:J65)</f>
        <v>0</v>
      </c>
      <c r="K62" s="177">
        <v>0</v>
      </c>
      <c r="L62" s="277">
        <v>536437</v>
      </c>
      <c r="M62" s="278"/>
      <c r="N62" s="121"/>
      <c r="O62" s="121"/>
      <c r="P62" s="122"/>
    </row>
    <row r="63" spans="1:16" ht="15.75" thickBot="1">
      <c r="A63" s="178">
        <v>11</v>
      </c>
      <c r="B63" s="113" t="s">
        <v>107</v>
      </c>
      <c r="C63" s="260"/>
      <c r="D63" s="260"/>
      <c r="E63" s="144">
        <f>SUM(F63:J63)</f>
        <v>290000</v>
      </c>
      <c r="F63" s="144">
        <v>50000</v>
      </c>
      <c r="G63" s="144">
        <v>0</v>
      </c>
      <c r="H63" s="198">
        <v>0</v>
      </c>
      <c r="I63" s="206">
        <v>240000</v>
      </c>
      <c r="J63" s="144">
        <v>0</v>
      </c>
      <c r="K63" s="144">
        <v>0</v>
      </c>
      <c r="L63" s="279"/>
      <c r="M63" s="280"/>
      <c r="N63" s="121"/>
      <c r="O63" s="121"/>
      <c r="P63" s="122"/>
    </row>
    <row r="64" spans="1:16" ht="15.75" thickBot="1">
      <c r="A64" s="171"/>
      <c r="B64" s="113" t="s">
        <v>115</v>
      </c>
      <c r="C64" s="260"/>
      <c r="D64" s="260"/>
      <c r="E64" s="175">
        <f>SUM(F64:J64)</f>
        <v>0</v>
      </c>
      <c r="F64" s="144">
        <v>0</v>
      </c>
      <c r="G64" s="144">
        <v>0</v>
      </c>
      <c r="H64" s="198">
        <v>0</v>
      </c>
      <c r="I64" s="206"/>
      <c r="J64" s="144">
        <v>0</v>
      </c>
      <c r="K64" s="144">
        <v>0</v>
      </c>
      <c r="L64" s="286"/>
      <c r="M64" s="288"/>
      <c r="N64" s="121"/>
      <c r="O64" s="121"/>
      <c r="P64" s="122"/>
    </row>
    <row r="65" spans="1:16" ht="15.75" thickBot="1">
      <c r="A65" s="171"/>
      <c r="B65" s="172" t="s">
        <v>122</v>
      </c>
      <c r="C65" s="260"/>
      <c r="D65" s="260"/>
      <c r="E65" s="173">
        <v>296437</v>
      </c>
      <c r="F65" s="173">
        <v>0</v>
      </c>
      <c r="G65" s="173">
        <v>0</v>
      </c>
      <c r="H65" s="199">
        <v>0</v>
      </c>
      <c r="I65" s="201">
        <v>296437</v>
      </c>
      <c r="J65" s="173">
        <v>0</v>
      </c>
      <c r="K65" s="173">
        <v>0</v>
      </c>
      <c r="L65" s="282"/>
      <c r="M65" s="283"/>
      <c r="N65" s="121"/>
      <c r="O65" s="121"/>
      <c r="P65" s="122"/>
    </row>
    <row r="66" spans="1:16" ht="39" thickBot="1">
      <c r="A66" s="133"/>
      <c r="B66" s="142" t="s">
        <v>130</v>
      </c>
      <c r="C66" s="259" t="s">
        <v>105</v>
      </c>
      <c r="D66" s="259" t="s">
        <v>126</v>
      </c>
      <c r="E66" s="135">
        <v>136000</v>
      </c>
      <c r="F66" s="135">
        <v>36000</v>
      </c>
      <c r="G66" s="135">
        <v>80000</v>
      </c>
      <c r="H66" s="205">
        <v>20000</v>
      </c>
      <c r="I66" s="205">
        <v>0</v>
      </c>
      <c r="J66" s="135">
        <v>0</v>
      </c>
      <c r="K66" s="143">
        <v>0</v>
      </c>
      <c r="L66" s="277">
        <v>0</v>
      </c>
      <c r="M66" s="278"/>
      <c r="N66" s="121"/>
      <c r="O66" s="121"/>
      <c r="P66" s="122"/>
    </row>
    <row r="67" spans="1:16" ht="15.75" thickBot="1">
      <c r="A67" s="178">
        <v>12</v>
      </c>
      <c r="B67" s="113" t="s">
        <v>107</v>
      </c>
      <c r="C67" s="260"/>
      <c r="D67" s="260"/>
      <c r="E67" s="144">
        <v>136000</v>
      </c>
      <c r="F67" s="144">
        <v>36000</v>
      </c>
      <c r="G67" s="144">
        <v>80000</v>
      </c>
      <c r="H67" s="206">
        <v>20000</v>
      </c>
      <c r="I67" s="206">
        <v>0</v>
      </c>
      <c r="J67" s="144">
        <v>0</v>
      </c>
      <c r="K67" s="145">
        <v>0</v>
      </c>
      <c r="L67" s="279"/>
      <c r="M67" s="280"/>
      <c r="N67" s="121"/>
      <c r="O67" s="121"/>
      <c r="P67" s="122"/>
    </row>
    <row r="68" spans="1:16" ht="15.75" thickBot="1">
      <c r="A68" s="116"/>
      <c r="B68" s="117" t="s">
        <v>115</v>
      </c>
      <c r="C68" s="289"/>
      <c r="D68" s="289"/>
      <c r="E68" s="138">
        <v>0</v>
      </c>
      <c r="F68" s="138">
        <v>0</v>
      </c>
      <c r="G68" s="138">
        <v>0</v>
      </c>
      <c r="H68" s="203">
        <v>0</v>
      </c>
      <c r="I68" s="203">
        <v>0</v>
      </c>
      <c r="J68" s="138">
        <v>0</v>
      </c>
      <c r="K68" s="139">
        <v>0</v>
      </c>
      <c r="L68" s="261"/>
      <c r="M68" s="281"/>
      <c r="N68" s="121"/>
      <c r="O68" s="121"/>
      <c r="P68" s="122"/>
    </row>
    <row r="69" spans="1:16" ht="26.25" thickBot="1">
      <c r="A69" s="133"/>
      <c r="B69" s="134" t="s">
        <v>131</v>
      </c>
      <c r="C69" s="259" t="s">
        <v>105</v>
      </c>
      <c r="D69" s="259" t="s">
        <v>142</v>
      </c>
      <c r="E69" s="136">
        <f aca="true" t="shared" si="3" ref="E69:E76">SUM(F69:J69)</f>
        <v>1803459.46</v>
      </c>
      <c r="F69" s="136">
        <f>SUM(F70:F72)</f>
        <v>8078.46</v>
      </c>
      <c r="G69" s="136">
        <f>SUM(G70:G72)</f>
        <v>0</v>
      </c>
      <c r="H69" s="202">
        <f>SUM(H70:H72)</f>
        <v>0</v>
      </c>
      <c r="I69" s="202">
        <f>SUM(I70:I72)</f>
        <v>795381</v>
      </c>
      <c r="J69" s="136">
        <f>SUM(J70:J72)</f>
        <v>1000000</v>
      </c>
      <c r="K69" s="137">
        <v>0</v>
      </c>
      <c r="L69" s="277">
        <v>1795381</v>
      </c>
      <c r="M69" s="278"/>
      <c r="N69" s="121"/>
      <c r="O69" s="121"/>
      <c r="P69" s="122"/>
    </row>
    <row r="70" spans="1:16" ht="15.75" thickBot="1">
      <c r="A70" s="178">
        <v>13</v>
      </c>
      <c r="B70" s="113" t="s">
        <v>107</v>
      </c>
      <c r="C70" s="260"/>
      <c r="D70" s="260"/>
      <c r="E70" s="130">
        <f t="shared" si="3"/>
        <v>298078.45999999996</v>
      </c>
      <c r="F70" s="130">
        <v>8078.46</v>
      </c>
      <c r="G70" s="130">
        <v>0</v>
      </c>
      <c r="H70" s="201">
        <v>0</v>
      </c>
      <c r="I70" s="201">
        <v>182500</v>
      </c>
      <c r="J70" s="130">
        <v>107500</v>
      </c>
      <c r="K70" s="131">
        <v>0</v>
      </c>
      <c r="L70" s="279"/>
      <c r="M70" s="280"/>
      <c r="N70" s="121"/>
      <c r="O70" s="121"/>
      <c r="P70" s="122"/>
    </row>
    <row r="71" spans="1:16" ht="15.75" thickBot="1">
      <c r="A71" s="112"/>
      <c r="B71" s="113" t="s">
        <v>115</v>
      </c>
      <c r="C71" s="260"/>
      <c r="D71" s="260"/>
      <c r="E71" s="130">
        <f t="shared" si="3"/>
        <v>0</v>
      </c>
      <c r="F71" s="130">
        <v>0</v>
      </c>
      <c r="G71" s="130">
        <v>0</v>
      </c>
      <c r="H71" s="201">
        <v>0</v>
      </c>
      <c r="I71" s="201">
        <v>0</v>
      </c>
      <c r="J71" s="130">
        <v>0</v>
      </c>
      <c r="K71" s="131">
        <v>0</v>
      </c>
      <c r="L71" s="286"/>
      <c r="M71" s="288"/>
      <c r="N71" s="121"/>
      <c r="O71" s="121"/>
      <c r="P71" s="122"/>
    </row>
    <row r="72" spans="1:16" ht="15.75" thickBot="1">
      <c r="A72" s="182">
        <v>80101</v>
      </c>
      <c r="B72" s="172" t="s">
        <v>122</v>
      </c>
      <c r="C72" s="260"/>
      <c r="D72" s="260"/>
      <c r="E72" s="173">
        <f t="shared" si="3"/>
        <v>1505381</v>
      </c>
      <c r="F72" s="173">
        <v>0</v>
      </c>
      <c r="G72" s="173">
        <v>0</v>
      </c>
      <c r="H72" s="201">
        <v>0</v>
      </c>
      <c r="I72" s="201">
        <v>612881</v>
      </c>
      <c r="J72" s="173">
        <v>892500</v>
      </c>
      <c r="K72" s="174">
        <v>0</v>
      </c>
      <c r="L72" s="282"/>
      <c r="M72" s="283"/>
      <c r="N72" s="121"/>
      <c r="O72" s="121"/>
      <c r="P72" s="122"/>
    </row>
    <row r="73" spans="1:16" ht="28.5" customHeight="1" thickBot="1">
      <c r="A73" s="184"/>
      <c r="B73" s="189" t="s">
        <v>139</v>
      </c>
      <c r="C73" s="259" t="s">
        <v>105</v>
      </c>
      <c r="D73" s="259" t="s">
        <v>144</v>
      </c>
      <c r="E73" s="190">
        <f t="shared" si="3"/>
        <v>434275</v>
      </c>
      <c r="F73" s="190">
        <f>SUM(F74:F76)</f>
        <v>0</v>
      </c>
      <c r="G73" s="190">
        <f>SUM(G74:G76)</f>
        <v>2500</v>
      </c>
      <c r="H73" s="207">
        <f>SUM(H74:H76)</f>
        <v>5000</v>
      </c>
      <c r="I73" s="207">
        <f>SUM(I74:I76)</f>
        <v>426775</v>
      </c>
      <c r="J73" s="190">
        <f>SUM(J74:J76)</f>
        <v>0</v>
      </c>
      <c r="K73" s="183">
        <v>0</v>
      </c>
      <c r="L73" s="284">
        <v>431775</v>
      </c>
      <c r="M73" s="285"/>
      <c r="N73" s="121"/>
      <c r="O73" s="121"/>
      <c r="P73" s="122"/>
    </row>
    <row r="74" spans="1:16" ht="15.75" thickBot="1">
      <c r="A74" s="178">
        <v>14</v>
      </c>
      <c r="B74" s="113" t="s">
        <v>107</v>
      </c>
      <c r="C74" s="260"/>
      <c r="D74" s="260"/>
      <c r="E74" s="144">
        <f t="shared" si="3"/>
        <v>67500</v>
      </c>
      <c r="F74" s="144">
        <v>0</v>
      </c>
      <c r="G74" s="144">
        <v>2500</v>
      </c>
      <c r="H74" s="206">
        <v>5000</v>
      </c>
      <c r="I74" s="206">
        <v>60000</v>
      </c>
      <c r="J74" s="144">
        <v>0</v>
      </c>
      <c r="K74" s="144">
        <v>0</v>
      </c>
      <c r="L74" s="286"/>
      <c r="M74" s="287"/>
      <c r="N74" s="121"/>
      <c r="O74" s="121"/>
      <c r="P74" s="122"/>
    </row>
    <row r="75" spans="1:16" ht="15.75" thickBot="1">
      <c r="A75" s="171"/>
      <c r="B75" s="113" t="s">
        <v>115</v>
      </c>
      <c r="C75" s="260"/>
      <c r="D75" s="260"/>
      <c r="E75" s="144">
        <f t="shared" si="3"/>
        <v>0</v>
      </c>
      <c r="F75" s="144">
        <v>0</v>
      </c>
      <c r="G75" s="144">
        <v>0</v>
      </c>
      <c r="H75" s="206">
        <v>0</v>
      </c>
      <c r="I75" s="206">
        <v>0</v>
      </c>
      <c r="J75" s="144">
        <v>0</v>
      </c>
      <c r="K75" s="144">
        <v>0</v>
      </c>
      <c r="L75" s="286"/>
      <c r="M75" s="287"/>
      <c r="N75" s="121"/>
      <c r="O75" s="121"/>
      <c r="P75" s="122"/>
    </row>
    <row r="76" spans="1:16" ht="15.75" thickBot="1">
      <c r="A76" s="188">
        <v>72095</v>
      </c>
      <c r="B76" s="172" t="s">
        <v>122</v>
      </c>
      <c r="C76" s="260"/>
      <c r="D76" s="260"/>
      <c r="E76" s="138">
        <f t="shared" si="3"/>
        <v>366775</v>
      </c>
      <c r="F76" s="138">
        <v>0</v>
      </c>
      <c r="G76" s="138">
        <v>0</v>
      </c>
      <c r="H76" s="203">
        <v>0</v>
      </c>
      <c r="I76" s="203">
        <v>366775</v>
      </c>
      <c r="J76" s="138">
        <v>0</v>
      </c>
      <c r="K76" s="138">
        <v>0</v>
      </c>
      <c r="L76" s="261"/>
      <c r="M76" s="262"/>
      <c r="N76" s="121"/>
      <c r="O76" s="121"/>
      <c r="P76" s="122"/>
    </row>
    <row r="77" spans="1:16" s="72" customFormat="1" ht="15.75" thickBot="1">
      <c r="A77" s="185"/>
      <c r="B77" s="179" t="s">
        <v>132</v>
      </c>
      <c r="C77" s="290" t="s">
        <v>105</v>
      </c>
      <c r="D77" s="290" t="s">
        <v>114</v>
      </c>
      <c r="E77" s="146">
        <f>SUM(F77:I77)</f>
        <v>1853500</v>
      </c>
      <c r="F77" s="146">
        <v>0</v>
      </c>
      <c r="G77" s="146">
        <f>SUM(G78:G80)</f>
        <v>13500</v>
      </c>
      <c r="H77" s="208">
        <f>SUM(H78:H80)</f>
        <v>1840000</v>
      </c>
      <c r="I77" s="146">
        <f>SUM(I78:I80)</f>
        <v>0</v>
      </c>
      <c r="J77" s="192">
        <v>0</v>
      </c>
      <c r="K77" s="146">
        <v>0</v>
      </c>
      <c r="L77" s="295">
        <v>1840000</v>
      </c>
      <c r="M77" s="296"/>
      <c r="N77" s="147"/>
      <c r="O77" s="147"/>
      <c r="P77" s="148"/>
    </row>
    <row r="78" spans="1:16" s="72" customFormat="1" ht="15.75" thickBot="1">
      <c r="A78" s="191">
        <v>15</v>
      </c>
      <c r="B78" s="180" t="s">
        <v>107</v>
      </c>
      <c r="C78" s="291"/>
      <c r="D78" s="293"/>
      <c r="E78" s="149">
        <f>SUM(F78:I78)</f>
        <v>253500</v>
      </c>
      <c r="F78" s="149">
        <v>0</v>
      </c>
      <c r="G78" s="149">
        <v>13500</v>
      </c>
      <c r="H78" s="209">
        <v>240000</v>
      </c>
      <c r="I78" s="149">
        <v>0</v>
      </c>
      <c r="J78" s="193">
        <v>0</v>
      </c>
      <c r="K78" s="149">
        <v>0</v>
      </c>
      <c r="L78" s="297"/>
      <c r="M78" s="298"/>
      <c r="N78" s="147"/>
      <c r="O78" s="147"/>
      <c r="P78" s="148"/>
    </row>
    <row r="79" spans="1:16" s="72" customFormat="1" ht="15.75" thickBot="1">
      <c r="A79" s="186"/>
      <c r="B79" s="180" t="s">
        <v>115</v>
      </c>
      <c r="C79" s="291"/>
      <c r="D79" s="293"/>
      <c r="E79" s="149">
        <f>SUM(F79:I79)</f>
        <v>0</v>
      </c>
      <c r="F79" s="149">
        <v>0</v>
      </c>
      <c r="G79" s="149">
        <v>0</v>
      </c>
      <c r="H79" s="209">
        <v>0</v>
      </c>
      <c r="I79" s="149">
        <v>0</v>
      </c>
      <c r="J79" s="193">
        <v>0</v>
      </c>
      <c r="K79" s="149">
        <v>0</v>
      </c>
      <c r="L79" s="297"/>
      <c r="M79" s="298"/>
      <c r="N79" s="147"/>
      <c r="O79" s="147"/>
      <c r="P79" s="148"/>
    </row>
    <row r="80" spans="1:16" s="72" customFormat="1" ht="15.75" thickBot="1">
      <c r="A80" s="187"/>
      <c r="B80" s="180" t="s">
        <v>122</v>
      </c>
      <c r="C80" s="292"/>
      <c r="D80" s="294"/>
      <c r="E80" s="149">
        <f>SUM(F80:I80)</f>
        <v>1600000</v>
      </c>
      <c r="F80" s="150">
        <v>0</v>
      </c>
      <c r="G80" s="150">
        <v>0</v>
      </c>
      <c r="H80" s="210">
        <v>1600000</v>
      </c>
      <c r="I80" s="150">
        <v>0</v>
      </c>
      <c r="J80" s="194">
        <v>0</v>
      </c>
      <c r="K80" s="150">
        <v>0</v>
      </c>
      <c r="L80" s="299"/>
      <c r="M80" s="300"/>
      <c r="N80" s="147"/>
      <c r="O80" s="147"/>
      <c r="P80" s="148"/>
    </row>
    <row r="81" spans="1:16" ht="15.75" thickBot="1">
      <c r="A81" s="267" t="s">
        <v>102</v>
      </c>
      <c r="B81" s="268"/>
      <c r="C81" s="151" t="s">
        <v>82</v>
      </c>
      <c r="D81" s="151" t="s">
        <v>82</v>
      </c>
      <c r="E81" s="152">
        <f>SUM(E77+E73+E69+E66+E62+E58+E52+E46+E41+E37+E32+E27+E22+E16+E11)</f>
        <v>24921730.240000002</v>
      </c>
      <c r="F81" s="152">
        <f>SUM(F77+F69+F66+F62+F58+F52+F46+F41+F37+F32+F27+F22+F16+F11)</f>
        <v>3171112.62</v>
      </c>
      <c r="G81" s="152">
        <f>SUM(G77+G69+G66+G62+G58+G52+G46+G41+G37+G32+G27+G22+G16+G11)</f>
        <v>4251365.619999999</v>
      </c>
      <c r="H81" s="152">
        <f>SUM(H77+H69+H66+H62+H58+H52+H46+H41+H37+H32+H27+H22+H16+H11)</f>
        <v>8785000</v>
      </c>
      <c r="I81" s="152">
        <f>SUM(I77+I69+I66+I62+I58+I52+I46+I41+I37+I32+I27+I22+I16+I11)</f>
        <v>5503212</v>
      </c>
      <c r="J81" s="152">
        <f>SUM(I77+J69+J66+J62+J58+J52+J46+J41+J37+J32+J27+J22+J16+J11)</f>
        <v>2776765</v>
      </c>
      <c r="K81" s="152">
        <v>0</v>
      </c>
      <c r="L81" s="269">
        <f>SUM(L77+L73+L69+L66+L62+L58+L52+L46+L41+L37+L32+L27+L22+L16+L11)</f>
        <v>8201228.3</v>
      </c>
      <c r="M81" s="270"/>
      <c r="N81" s="121"/>
      <c r="O81" s="121"/>
      <c r="P81" s="122"/>
    </row>
    <row r="82" spans="1:16" ht="15.75" thickBot="1">
      <c r="A82" s="153" t="s">
        <v>31</v>
      </c>
      <c r="B82" s="271">
        <v>0</v>
      </c>
      <c r="C82" s="272"/>
      <c r="D82" s="272"/>
      <c r="E82" s="272"/>
      <c r="F82" s="272"/>
      <c r="G82" s="272"/>
      <c r="H82" s="272"/>
      <c r="I82" s="272"/>
      <c r="J82" s="272"/>
      <c r="K82" s="272"/>
      <c r="L82" s="273"/>
      <c r="M82" s="274"/>
      <c r="N82" s="121"/>
      <c r="O82" s="121"/>
      <c r="P82" s="122"/>
    </row>
    <row r="83" spans="1:16" ht="15.75" thickBot="1">
      <c r="A83" s="154">
        <v>1</v>
      </c>
      <c r="B83" s="155" t="s">
        <v>133</v>
      </c>
      <c r="C83" s="156"/>
      <c r="D83" s="156"/>
      <c r="E83" s="157">
        <f>SUM(G83:K83)</f>
        <v>0</v>
      </c>
      <c r="F83" s="158">
        <v>0</v>
      </c>
      <c r="G83" s="159">
        <v>0</v>
      </c>
      <c r="H83" s="159">
        <v>0</v>
      </c>
      <c r="I83" s="159">
        <v>0</v>
      </c>
      <c r="J83" s="160">
        <v>0</v>
      </c>
      <c r="K83" s="160">
        <v>0</v>
      </c>
      <c r="L83" s="275">
        <v>0</v>
      </c>
      <c r="M83" s="276"/>
      <c r="N83" s="121"/>
      <c r="O83" s="121"/>
      <c r="P83" s="122"/>
    </row>
    <row r="84" spans="1:16" ht="15.75" thickBot="1">
      <c r="A84" s="255" t="s">
        <v>102</v>
      </c>
      <c r="B84" s="256"/>
      <c r="C84" s="161" t="s">
        <v>82</v>
      </c>
      <c r="D84" s="161" t="s">
        <v>82</v>
      </c>
      <c r="E84" s="162">
        <f aca="true" t="shared" si="4" ref="E84:K84">SUM(E83:E83)</f>
        <v>0</v>
      </c>
      <c r="F84" s="162">
        <f>SUM(F83)</f>
        <v>0</v>
      </c>
      <c r="G84" s="163">
        <f t="shared" si="4"/>
        <v>0</v>
      </c>
      <c r="H84" s="163">
        <f t="shared" si="4"/>
        <v>0</v>
      </c>
      <c r="I84" s="163">
        <f t="shared" si="4"/>
        <v>0</v>
      </c>
      <c r="J84" s="164">
        <f t="shared" si="4"/>
        <v>0</v>
      </c>
      <c r="K84" s="164">
        <f t="shared" si="4"/>
        <v>0</v>
      </c>
      <c r="L84" s="257">
        <v>0</v>
      </c>
      <c r="M84" s="258"/>
      <c r="N84" s="121"/>
      <c r="O84" s="121"/>
      <c r="P84" s="122"/>
    </row>
    <row r="85" spans="1:16" ht="16.5" thickBot="1" thickTop="1">
      <c r="A85" s="263" t="s">
        <v>134</v>
      </c>
      <c r="B85" s="264"/>
      <c r="C85" s="165" t="s">
        <v>82</v>
      </c>
      <c r="D85" s="165" t="s">
        <v>82</v>
      </c>
      <c r="E85" s="166">
        <f aca="true" t="shared" si="5" ref="E85:K85">E6+E9+E81+E84</f>
        <v>25541982.240000002</v>
      </c>
      <c r="F85" s="166">
        <f t="shared" si="5"/>
        <v>3367364.62</v>
      </c>
      <c r="G85" s="167">
        <f t="shared" si="5"/>
        <v>4349365.619999999</v>
      </c>
      <c r="H85" s="167">
        <f t="shared" si="5"/>
        <v>8884000</v>
      </c>
      <c r="I85" s="167">
        <f t="shared" si="5"/>
        <v>5604212</v>
      </c>
      <c r="J85" s="167">
        <f t="shared" si="5"/>
        <v>2839765</v>
      </c>
      <c r="K85" s="168">
        <f t="shared" si="5"/>
        <v>63000</v>
      </c>
      <c r="L85" s="265">
        <f>L6+L9+L81+L84</f>
        <v>8527228.3</v>
      </c>
      <c r="M85" s="266"/>
      <c r="N85" s="121"/>
      <c r="O85" s="121"/>
      <c r="P85" s="122"/>
    </row>
    <row r="86" spans="1:16" ht="16.5" thickBot="1" thickTop="1">
      <c r="A86" s="73"/>
      <c r="B86" s="73"/>
      <c r="C86" s="73"/>
      <c r="D86" s="73"/>
      <c r="E86" s="73"/>
      <c r="F86" s="73"/>
      <c r="L86" s="169"/>
      <c r="M86" s="169"/>
      <c r="N86" s="121"/>
      <c r="O86" s="121"/>
      <c r="P86" s="122"/>
    </row>
    <row r="87" spans="1:16" ht="15.75" thickBot="1">
      <c r="A87" s="73"/>
      <c r="B87" s="73"/>
      <c r="C87" s="73"/>
      <c r="D87" s="73"/>
      <c r="E87" s="73"/>
      <c r="F87" s="73"/>
      <c r="L87" s="169"/>
      <c r="M87" s="169"/>
      <c r="N87" s="121"/>
      <c r="O87" s="121"/>
      <c r="P87" s="122"/>
    </row>
  </sheetData>
  <sheetProtection/>
  <mergeCells count="126">
    <mergeCell ref="B2:K3"/>
    <mergeCell ref="A4:A5"/>
    <mergeCell ref="B4:B5"/>
    <mergeCell ref="C4:C5"/>
    <mergeCell ref="D4:D5"/>
    <mergeCell ref="E4:E5"/>
    <mergeCell ref="G4:K4"/>
    <mergeCell ref="A9:B9"/>
    <mergeCell ref="L9:M9"/>
    <mergeCell ref="B10:K10"/>
    <mergeCell ref="L10:M10"/>
    <mergeCell ref="L15:M15"/>
    <mergeCell ref="C11:C15"/>
    <mergeCell ref="L4:P4"/>
    <mergeCell ref="L5:M5"/>
    <mergeCell ref="L6:M6"/>
    <mergeCell ref="B7:K7"/>
    <mergeCell ref="L7:M7"/>
    <mergeCell ref="L8:M8"/>
    <mergeCell ref="L33:M33"/>
    <mergeCell ref="L34:M34"/>
    <mergeCell ref="L35:M35"/>
    <mergeCell ref="L36:M36"/>
    <mergeCell ref="C46:C51"/>
    <mergeCell ref="D46:D51"/>
    <mergeCell ref="L46:M46"/>
    <mergeCell ref="L47:M47"/>
    <mergeCell ref="L48:M48"/>
    <mergeCell ref="L43:M43"/>
    <mergeCell ref="C41:C45"/>
    <mergeCell ref="D41:D45"/>
    <mergeCell ref="L41:M41"/>
    <mergeCell ref="L42:M42"/>
    <mergeCell ref="L44:M44"/>
    <mergeCell ref="L45:M45"/>
    <mergeCell ref="D22:D26"/>
    <mergeCell ref="L22:M22"/>
    <mergeCell ref="L23:M23"/>
    <mergeCell ref="L24:M24"/>
    <mergeCell ref="C16:C21"/>
    <mergeCell ref="D16:D21"/>
    <mergeCell ref="L16:M16"/>
    <mergeCell ref="L17:M17"/>
    <mergeCell ref="L18:M18"/>
    <mergeCell ref="L19:M19"/>
    <mergeCell ref="L20:M20"/>
    <mergeCell ref="L21:M21"/>
    <mergeCell ref="D11:D15"/>
    <mergeCell ref="L11:M11"/>
    <mergeCell ref="L12:M12"/>
    <mergeCell ref="L13:M13"/>
    <mergeCell ref="L14:M14"/>
    <mergeCell ref="L25:M25"/>
    <mergeCell ref="L26:M26"/>
    <mergeCell ref="C27:C31"/>
    <mergeCell ref="D27:D31"/>
    <mergeCell ref="L27:M27"/>
    <mergeCell ref="L28:M28"/>
    <mergeCell ref="L29:M29"/>
    <mergeCell ref="L30:M30"/>
    <mergeCell ref="L31:M31"/>
    <mergeCell ref="C22:C26"/>
    <mergeCell ref="D37:D40"/>
    <mergeCell ref="L37:M37"/>
    <mergeCell ref="L38:M38"/>
    <mergeCell ref="L39:M39"/>
    <mergeCell ref="L40:M40"/>
    <mergeCell ref="D62:D65"/>
    <mergeCell ref="L49:M49"/>
    <mergeCell ref="L50:M50"/>
    <mergeCell ref="L51:M51"/>
    <mergeCell ref="L62:M62"/>
    <mergeCell ref="C32:C36"/>
    <mergeCell ref="D32:D36"/>
    <mergeCell ref="L32:M32"/>
    <mergeCell ref="C58:C61"/>
    <mergeCell ref="D58:D61"/>
    <mergeCell ref="L58:M58"/>
    <mergeCell ref="L59:M59"/>
    <mergeCell ref="L60:M60"/>
    <mergeCell ref="L61:M61"/>
    <mergeCell ref="C37:C40"/>
    <mergeCell ref="C62:C65"/>
    <mergeCell ref="C52:C57"/>
    <mergeCell ref="D52:D57"/>
    <mergeCell ref="L52:M52"/>
    <mergeCell ref="L53:M53"/>
    <mergeCell ref="L54:M54"/>
    <mergeCell ref="L55:M55"/>
    <mergeCell ref="L56:M56"/>
    <mergeCell ref="L57:M57"/>
    <mergeCell ref="C77:C80"/>
    <mergeCell ref="D77:D80"/>
    <mergeCell ref="L77:M77"/>
    <mergeCell ref="L78:M78"/>
    <mergeCell ref="L79:M79"/>
    <mergeCell ref="L80:M80"/>
    <mergeCell ref="C69:C72"/>
    <mergeCell ref="D69:D72"/>
    <mergeCell ref="L69:M69"/>
    <mergeCell ref="L70:M70"/>
    <mergeCell ref="L71:M71"/>
    <mergeCell ref="L63:M63"/>
    <mergeCell ref="L64:M64"/>
    <mergeCell ref="C66:C68"/>
    <mergeCell ref="D66:D68"/>
    <mergeCell ref="L65:M65"/>
    <mergeCell ref="L82:M82"/>
    <mergeCell ref="L83:M83"/>
    <mergeCell ref="L66:M66"/>
    <mergeCell ref="L67:M67"/>
    <mergeCell ref="L68:M68"/>
    <mergeCell ref="L72:M72"/>
    <mergeCell ref="L73:M73"/>
    <mergeCell ref="L74:M74"/>
    <mergeCell ref="L75:M75"/>
    <mergeCell ref="A84:B84"/>
    <mergeCell ref="L84:M84"/>
    <mergeCell ref="C73:C76"/>
    <mergeCell ref="D73:D76"/>
    <mergeCell ref="L76:M76"/>
    <mergeCell ref="A85:B85"/>
    <mergeCell ref="L85:M85"/>
    <mergeCell ref="A81:B81"/>
    <mergeCell ref="L81:M81"/>
    <mergeCell ref="B82:K8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2012-01-05T10:21:31Z</dcterms:modified>
  <cp:category/>
  <cp:version/>
  <cp:contentType/>
  <cp:contentStatus/>
</cp:coreProperties>
</file>